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1fa741c4fe47bd/3-Engineering/3-UNCuyo/Cátedras/2018-2023 - Análisis Estructural I/Bibliografía/"/>
    </mc:Choice>
  </mc:AlternateContent>
  <xr:revisionPtr revIDLastSave="620" documentId="8_{791F7FC3-95A1-4EF5-ACA6-9D78CF13F276}" xr6:coauthVersionLast="47" xr6:coauthVersionMax="47" xr10:uidLastSave="{8CACC7C9-FC7D-4539-BFB4-0945F29FA7A9}"/>
  <bookViews>
    <workbookView xWindow="28680" yWindow="-120" windowWidth="29040" windowHeight="15840" xr2:uid="{D5596B7F-5555-4F9E-9B3D-69BC680518A1}"/>
  </bookViews>
  <sheets>
    <sheet name="TORSIÓN-TS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K5" i="1" s="1"/>
  <c r="B22" i="1" s="1"/>
  <c r="F22" i="1" s="1"/>
  <c r="C4" i="1"/>
  <c r="E13" i="1"/>
  <c r="E12" i="1"/>
  <c r="H12" i="1" s="1"/>
  <c r="K12" i="1" s="1"/>
  <c r="O12" i="1" s="1"/>
  <c r="E11" i="1"/>
  <c r="G11" i="1" s="1"/>
  <c r="J11" i="1" s="1"/>
  <c r="N11" i="1" s="1"/>
  <c r="E10" i="1"/>
  <c r="H10" i="1" s="1"/>
  <c r="K10" i="1" s="1"/>
  <c r="O10" i="1" s="1"/>
  <c r="E9" i="1"/>
  <c r="I9" i="1" s="1"/>
  <c r="P9" i="1" s="1"/>
  <c r="I13" i="1"/>
  <c r="L13" i="1" s="1"/>
  <c r="F24" i="1"/>
  <c r="G24" i="1"/>
  <c r="H23" i="1"/>
  <c r="I23" i="1"/>
  <c r="G12" i="1"/>
  <c r="J12" i="1" s="1"/>
  <c r="N12" i="1" s="1"/>
  <c r="E22" i="1"/>
  <c r="I22" i="1" s="1"/>
  <c r="D22" i="1"/>
  <c r="C21" i="1"/>
  <c r="G21" i="1" s="1"/>
  <c r="B21" i="1"/>
  <c r="F21" i="1" s="1"/>
  <c r="H9" i="1"/>
  <c r="K9" i="1" s="1"/>
  <c r="G9" i="1"/>
  <c r="H16" i="1" l="1"/>
  <c r="K16" i="1" s="1"/>
  <c r="O16" i="1" s="1"/>
  <c r="I16" i="1"/>
  <c r="M16" i="1" s="1"/>
  <c r="G16" i="1"/>
  <c r="J16" i="1" s="1"/>
  <c r="N16" i="1" s="1"/>
  <c r="H15" i="1"/>
  <c r="K15" i="1" s="1"/>
  <c r="O15" i="1" s="1"/>
  <c r="G15" i="1"/>
  <c r="J15" i="1" s="1"/>
  <c r="N15" i="1" s="1"/>
  <c r="I15" i="1"/>
  <c r="M15" i="1" s="1"/>
  <c r="I11" i="1"/>
  <c r="M11" i="1" s="1"/>
  <c r="G2" i="1"/>
  <c r="K3" i="1" s="1"/>
  <c r="E24" i="1" s="1"/>
  <c r="I24" i="1" s="1"/>
  <c r="K4" i="1"/>
  <c r="D21" i="1" s="1"/>
  <c r="H21" i="1" s="1"/>
  <c r="I14" i="1"/>
  <c r="L14" i="1" s="1"/>
  <c r="I12" i="1"/>
  <c r="M12" i="1" s="1"/>
  <c r="G14" i="1"/>
  <c r="J14" i="1" s="1"/>
  <c r="N14" i="1" s="1"/>
  <c r="G13" i="1"/>
  <c r="J13" i="1" s="1"/>
  <c r="N13" i="1" s="1"/>
  <c r="H13" i="1"/>
  <c r="K13" i="1" s="1"/>
  <c r="O13" i="1" s="1"/>
  <c r="H14" i="1"/>
  <c r="K14" i="1" s="1"/>
  <c r="O14" i="1" s="1"/>
  <c r="H11" i="1"/>
  <c r="K11" i="1" s="1"/>
  <c r="O11" i="1" s="1"/>
  <c r="G10" i="1"/>
  <c r="J10" i="1" s="1"/>
  <c r="N10" i="1" s="1"/>
  <c r="I10" i="1"/>
  <c r="L10" i="1" s="1"/>
  <c r="S3" i="1"/>
  <c r="AB13" i="1" s="1"/>
  <c r="M9" i="1"/>
  <c r="J22" i="1"/>
  <c r="AE9" i="1" s="1"/>
  <c r="H22" i="1"/>
  <c r="L9" i="1"/>
  <c r="M13" i="1"/>
  <c r="P13" i="1"/>
  <c r="P12" i="1"/>
  <c r="L12" i="1"/>
  <c r="O9" i="1"/>
  <c r="J9" i="1"/>
  <c r="C22" i="1"/>
  <c r="L11" i="1" l="1"/>
  <c r="P11" i="1"/>
  <c r="L16" i="1"/>
  <c r="P16" i="1"/>
  <c r="L15" i="1"/>
  <c r="P15" i="1"/>
  <c r="C23" i="1"/>
  <c r="C25" i="1" s="1"/>
  <c r="B23" i="1"/>
  <c r="F23" i="1" s="1"/>
  <c r="F25" i="1" s="1"/>
  <c r="D24" i="1"/>
  <c r="H24" i="1" s="1"/>
  <c r="H25" i="1" s="1"/>
  <c r="E21" i="1"/>
  <c r="I21" i="1" s="1"/>
  <c r="M14" i="1"/>
  <c r="P14" i="1"/>
  <c r="M10" i="1"/>
  <c r="AB11" i="1"/>
  <c r="AB12" i="1"/>
  <c r="AB14" i="1"/>
  <c r="H17" i="1"/>
  <c r="O24" i="1" s="1"/>
  <c r="G17" i="1"/>
  <c r="N23" i="1" s="1"/>
  <c r="I17" i="1"/>
  <c r="O23" i="1" s="1"/>
  <c r="P10" i="1"/>
  <c r="Z9" i="1"/>
  <c r="AB16" i="1"/>
  <c r="AB9" i="1"/>
  <c r="AB10" i="1"/>
  <c r="AB15" i="1"/>
  <c r="T9" i="1"/>
  <c r="X9" i="1" s="1"/>
  <c r="W9" i="1"/>
  <c r="AA12" i="1"/>
  <c r="T10" i="1"/>
  <c r="X10" i="1" s="1"/>
  <c r="T14" i="1"/>
  <c r="X14" i="1" s="1"/>
  <c r="V9" i="1"/>
  <c r="T11" i="1"/>
  <c r="X11" i="1" s="1"/>
  <c r="T15" i="1"/>
  <c r="X15" i="1" s="1"/>
  <c r="U10" i="1"/>
  <c r="Y13" i="1"/>
  <c r="AC13" i="1" s="1"/>
  <c r="AA15" i="1"/>
  <c r="V12" i="1"/>
  <c r="W15" i="1"/>
  <c r="Y15" i="1"/>
  <c r="AC15" i="1" s="1"/>
  <c r="U11" i="1"/>
  <c r="U9" i="1"/>
  <c r="Z14" i="1"/>
  <c r="W14" i="1"/>
  <c r="W12" i="1"/>
  <c r="U12" i="1"/>
  <c r="Y10" i="1"/>
  <c r="AC10" i="1" s="1"/>
  <c r="Z15" i="1"/>
  <c r="W10" i="1"/>
  <c r="U15" i="1"/>
  <c r="V13" i="1"/>
  <c r="V16" i="1"/>
  <c r="AA10" i="1"/>
  <c r="W11" i="1"/>
  <c r="V11" i="1"/>
  <c r="V15" i="1"/>
  <c r="W16" i="1"/>
  <c r="Y14" i="1"/>
  <c r="AC14" i="1" s="1"/>
  <c r="Z11" i="1"/>
  <c r="U14" i="1"/>
  <c r="Z12" i="1"/>
  <c r="Z16" i="1"/>
  <c r="U13" i="1"/>
  <c r="W13" i="1"/>
  <c r="Z13" i="1"/>
  <c r="Y12" i="1"/>
  <c r="AC12" i="1" s="1"/>
  <c r="AA11" i="1"/>
  <c r="V10" i="1"/>
  <c r="T16" i="1"/>
  <c r="X16" i="1" s="1"/>
  <c r="Y9" i="1"/>
  <c r="AC9" i="1" s="1"/>
  <c r="AA13" i="1"/>
  <c r="Y11" i="1"/>
  <c r="AC11" i="1" s="1"/>
  <c r="AA9" i="1"/>
  <c r="Z10" i="1"/>
  <c r="AA16" i="1"/>
  <c r="V14" i="1"/>
  <c r="AA14" i="1"/>
  <c r="T13" i="1"/>
  <c r="X13" i="1" s="1"/>
  <c r="U16" i="1"/>
  <c r="T12" i="1"/>
  <c r="X12" i="1" s="1"/>
  <c r="Y16" i="1"/>
  <c r="AC16" i="1" s="1"/>
  <c r="G22" i="1"/>
  <c r="J24" i="1"/>
  <c r="L24" i="1" s="1"/>
  <c r="J23" i="1"/>
  <c r="O17" i="1"/>
  <c r="K17" i="1"/>
  <c r="N9" i="1"/>
  <c r="N17" i="1" s="1"/>
  <c r="J17" i="1"/>
  <c r="L17" i="1" l="1"/>
  <c r="P23" i="1" s="1"/>
  <c r="D25" i="1"/>
  <c r="P17" i="1"/>
  <c r="P25" i="1" s="1"/>
  <c r="AD12" i="1"/>
  <c r="G23" i="1"/>
  <c r="G25" i="1" s="1"/>
  <c r="B25" i="1"/>
  <c r="E25" i="1"/>
  <c r="M17" i="1"/>
  <c r="P24" i="1" s="1"/>
  <c r="AE12" i="1"/>
  <c r="N24" i="1"/>
  <c r="J21" i="1"/>
  <c r="AD9" i="1" s="1"/>
  <c r="I25" i="1"/>
  <c r="S2" i="1" a="1"/>
  <c r="S2" i="1" s="1"/>
  <c r="L23" i="1"/>
  <c r="N25" i="1" l="1"/>
  <c r="J25" i="1"/>
  <c r="L25" i="1" s="1"/>
  <c r="O25" i="1"/>
  <c r="AD10" i="1"/>
  <c r="AE10" i="1"/>
  <c r="M23" i="1" l="1" a="1"/>
  <c r="M23" i="1" s="1"/>
  <c r="M25" i="1" l="1"/>
  <c r="B30" i="1" s="1"/>
  <c r="R9" i="1" s="1"/>
  <c r="M24" i="1"/>
  <c r="C30" i="1" s="1"/>
  <c r="S9" i="1" s="1"/>
  <c r="B37" i="1"/>
  <c r="R16" i="1" s="1"/>
  <c r="B36" i="1"/>
  <c r="R15" i="1" s="1"/>
  <c r="C37" i="1"/>
  <c r="C36" i="1"/>
  <c r="B35" i="1"/>
  <c r="R14" i="1" s="1"/>
  <c r="C35" i="1"/>
  <c r="S14" i="1" s="1"/>
  <c r="B32" i="1"/>
  <c r="R11" i="1" s="1"/>
  <c r="B34" i="1"/>
  <c r="R13" i="1" s="1"/>
  <c r="B33" i="1" l="1"/>
  <c r="R12" i="1" s="1"/>
  <c r="B31" i="1"/>
  <c r="R10" i="1" s="1"/>
  <c r="C32" i="1"/>
  <c r="S11" i="1" s="1"/>
  <c r="C33" i="1"/>
  <c r="S12" i="1" s="1"/>
  <c r="C31" i="1"/>
  <c r="S10" i="1" s="1"/>
  <c r="C34" i="1"/>
  <c r="S13" i="1" s="1"/>
  <c r="S16" i="1"/>
  <c r="E37" i="1"/>
  <c r="G37" i="1" s="1"/>
  <c r="D37" i="1"/>
  <c r="F37" i="1" s="1"/>
  <c r="S15" i="1"/>
  <c r="E36" i="1"/>
  <c r="G36" i="1" s="1"/>
  <c r="D36" i="1"/>
  <c r="F36" i="1" s="1"/>
  <c r="E35" i="1"/>
  <c r="G35" i="1" s="1"/>
  <c r="D35" i="1"/>
  <c r="F35" i="1" s="1"/>
  <c r="E34" i="1"/>
  <c r="G34" i="1" s="1"/>
  <c r="D34" i="1"/>
  <c r="F34" i="1" s="1"/>
  <c r="D30" i="1"/>
  <c r="F30" i="1" s="1"/>
  <c r="D32" i="1"/>
  <c r="F32" i="1" s="1"/>
  <c r="E30" i="1"/>
  <c r="G30" i="1" s="1"/>
  <c r="E32" i="1" l="1"/>
  <c r="G32" i="1" s="1"/>
  <c r="I32" i="1" s="1"/>
  <c r="D31" i="1"/>
  <c r="F31" i="1" s="1"/>
  <c r="E31" i="1"/>
  <c r="G31" i="1" s="1"/>
  <c r="D33" i="1"/>
  <c r="F33" i="1" s="1"/>
  <c r="E33" i="1"/>
  <c r="G33" i="1" s="1"/>
  <c r="H37" i="1"/>
  <c r="I37" i="1"/>
  <c r="I36" i="1"/>
  <c r="H36" i="1"/>
  <c r="I30" i="1"/>
  <c r="H35" i="1"/>
  <c r="H34" i="1"/>
  <c r="H30" i="1"/>
  <c r="I35" i="1"/>
  <c r="I34" i="1"/>
  <c r="H32" i="1" l="1"/>
  <c r="H31" i="1"/>
  <c r="I31" i="1"/>
  <c r="J31" i="1" s="1"/>
  <c r="I33" i="1"/>
  <c r="I38" i="1" s="1"/>
  <c r="H33" i="1"/>
  <c r="J32" i="1"/>
  <c r="J37" i="1"/>
  <c r="J36" i="1"/>
  <c r="J35" i="1"/>
  <c r="J34" i="1"/>
  <c r="J30" i="1"/>
  <c r="H38" i="1" l="1"/>
  <c r="J33" i="1"/>
  <c r="J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<sst xmlns="http://schemas.openxmlformats.org/spreadsheetml/2006/main" count="93" uniqueCount="66">
  <si>
    <t>x</t>
  </si>
  <si>
    <t>y</t>
  </si>
  <si>
    <t>[m]</t>
  </si>
  <si>
    <t>[kN/m]</t>
  </si>
  <si>
    <t>[º]</t>
  </si>
  <si>
    <t>[kN]</t>
  </si>
  <si>
    <t>[kN.m]</t>
  </si>
  <si>
    <t>Xcm =</t>
  </si>
  <si>
    <t>Ycm =</t>
  </si>
  <si>
    <t>m</t>
  </si>
  <si>
    <t>Lx =</t>
  </si>
  <si>
    <t xml:space="preserve">%Lx = </t>
  </si>
  <si>
    <t xml:space="preserve">%Ly = </t>
  </si>
  <si>
    <t>eax =</t>
  </si>
  <si>
    <t>eay =</t>
  </si>
  <si>
    <t>m2</t>
  </si>
  <si>
    <t>kN/m2</t>
  </si>
  <si>
    <t>Fs =</t>
  </si>
  <si>
    <t>kN</t>
  </si>
  <si>
    <t>%</t>
  </si>
  <si>
    <t>A =</t>
  </si>
  <si>
    <t>D+nL =</t>
  </si>
  <si>
    <t>Pmax =</t>
  </si>
  <si>
    <t>Kmax =</t>
  </si>
  <si>
    <t>Escala Fuerza=</t>
  </si>
  <si>
    <t>Escala Elementos=</t>
  </si>
  <si>
    <t>Escala Dezplazamientos =</t>
  </si>
  <si>
    <t xml:space="preserve">C = </t>
  </si>
  <si>
    <t>Ly =</t>
  </si>
  <si>
    <t>a</t>
  </si>
  <si>
    <t>ux</t>
  </si>
  <si>
    <t>uy</t>
  </si>
  <si>
    <t>u1</t>
  </si>
  <si>
    <t>u2</t>
  </si>
  <si>
    <t>p1</t>
  </si>
  <si>
    <t>p2</t>
  </si>
  <si>
    <t>px</t>
  </si>
  <si>
    <t>py</t>
  </si>
  <si>
    <t>P</t>
  </si>
  <si>
    <t>U</t>
  </si>
  <si>
    <t>K</t>
  </si>
  <si>
    <t>Fx+ Ea+</t>
  </si>
  <si>
    <t>Fx+ Ea-</t>
  </si>
  <si>
    <t>Fy+ Ea-</t>
  </si>
  <si>
    <t>Fx- Ea+</t>
  </si>
  <si>
    <t>Fx- Ea-</t>
  </si>
  <si>
    <t>Fy- Ea+</t>
  </si>
  <si>
    <t>Fy- Ea-</t>
  </si>
  <si>
    <t>Fy+ Ea+</t>
  </si>
  <si>
    <t>Combinaciones</t>
  </si>
  <si>
    <t>Mz</t>
  </si>
  <si>
    <t>Desplazamientos y esfuerzos en elementos</t>
  </si>
  <si>
    <t>Sistema de ecuaciones</t>
  </si>
  <si>
    <t>S =</t>
  </si>
  <si>
    <r>
      <t>k</t>
    </r>
    <r>
      <rPr>
        <b/>
        <vertAlign val="subscript"/>
        <sz val="10"/>
        <rFont val="Calibri"/>
        <family val="2"/>
      </rPr>
      <t>1</t>
    </r>
  </si>
  <si>
    <r>
      <t>k</t>
    </r>
    <r>
      <rPr>
        <b/>
        <vertAlign val="subscript"/>
        <sz val="10"/>
        <rFont val="Calibri"/>
        <family val="2"/>
      </rPr>
      <t>2</t>
    </r>
  </si>
  <si>
    <r>
      <t>k</t>
    </r>
    <r>
      <rPr>
        <b/>
        <vertAlign val="subscript"/>
        <sz val="10"/>
        <rFont val="Calibri"/>
        <family val="2"/>
      </rPr>
      <t>x</t>
    </r>
  </si>
  <si>
    <r>
      <t>k</t>
    </r>
    <r>
      <rPr>
        <b/>
        <vertAlign val="subscript"/>
        <sz val="10"/>
        <rFont val="Calibri"/>
        <family val="2"/>
      </rPr>
      <t>y</t>
    </r>
  </si>
  <si>
    <r>
      <t>k</t>
    </r>
    <r>
      <rPr>
        <b/>
        <vertAlign val="subscript"/>
        <sz val="10"/>
        <rFont val="Calibri"/>
        <family val="2"/>
      </rPr>
      <t>xy</t>
    </r>
  </si>
  <si>
    <r>
      <t>k</t>
    </r>
    <r>
      <rPr>
        <b/>
        <vertAlign val="subscript"/>
        <sz val="10"/>
        <rFont val="Calibri"/>
        <family val="2"/>
      </rPr>
      <t>x</t>
    </r>
    <r>
      <rPr>
        <b/>
        <sz val="10"/>
        <rFont val="Calibri"/>
        <family val="2"/>
      </rPr>
      <t>.y</t>
    </r>
  </si>
  <si>
    <r>
      <t>k</t>
    </r>
    <r>
      <rPr>
        <b/>
        <vertAlign val="subscript"/>
        <sz val="10"/>
        <rFont val="Calibri"/>
        <family val="2"/>
      </rPr>
      <t>y</t>
    </r>
    <r>
      <rPr>
        <b/>
        <sz val="10"/>
        <rFont val="Calibri"/>
        <family val="2"/>
      </rPr>
      <t>.x</t>
    </r>
  </si>
  <si>
    <r>
      <t>k</t>
    </r>
    <r>
      <rPr>
        <b/>
        <vertAlign val="subscript"/>
        <sz val="10"/>
        <rFont val="Calibri"/>
        <family val="2"/>
      </rPr>
      <t>xy</t>
    </r>
    <r>
      <rPr>
        <b/>
        <sz val="10"/>
        <rFont val="Calibri"/>
        <family val="2"/>
      </rPr>
      <t>.x</t>
    </r>
  </si>
  <si>
    <r>
      <t>k</t>
    </r>
    <r>
      <rPr>
        <b/>
        <vertAlign val="subscript"/>
        <sz val="10"/>
        <rFont val="Calibri"/>
        <family val="2"/>
      </rPr>
      <t>xy</t>
    </r>
    <r>
      <rPr>
        <b/>
        <sz val="10"/>
        <rFont val="Calibri"/>
        <family val="2"/>
      </rPr>
      <t>.y</t>
    </r>
  </si>
  <si>
    <r>
      <t>k</t>
    </r>
    <r>
      <rPr>
        <b/>
        <vertAlign val="subscript"/>
        <sz val="10"/>
        <rFont val="Calibri"/>
        <family val="2"/>
      </rPr>
      <t>x</t>
    </r>
    <r>
      <rPr>
        <b/>
        <sz val="10"/>
        <rFont val="Calibri"/>
        <family val="2"/>
      </rPr>
      <t>.y</t>
    </r>
    <r>
      <rPr>
        <b/>
        <vertAlign val="superscript"/>
        <sz val="10"/>
        <rFont val="Calibri"/>
        <family val="2"/>
      </rPr>
      <t>2</t>
    </r>
  </si>
  <si>
    <r>
      <t>k</t>
    </r>
    <r>
      <rPr>
        <b/>
        <vertAlign val="subscript"/>
        <sz val="10"/>
        <rFont val="Calibri"/>
        <family val="2"/>
      </rPr>
      <t>y</t>
    </r>
    <r>
      <rPr>
        <b/>
        <sz val="10"/>
        <rFont val="Calibri"/>
        <family val="2"/>
      </rPr>
      <t>.x</t>
    </r>
    <r>
      <rPr>
        <b/>
        <vertAlign val="superscript"/>
        <sz val="10"/>
        <rFont val="Calibri"/>
        <family val="2"/>
      </rPr>
      <t>2</t>
    </r>
  </si>
  <si>
    <r>
      <t>k</t>
    </r>
    <r>
      <rPr>
        <b/>
        <vertAlign val="subscript"/>
        <sz val="10"/>
        <rFont val="Calibri"/>
        <family val="2"/>
      </rPr>
      <t>xy</t>
    </r>
    <r>
      <rPr>
        <b/>
        <sz val="10"/>
        <rFont val="Calibri"/>
        <family val="2"/>
      </rPr>
      <t>.x.y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</si>
</sst>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b/>
      <vertAlign val="superscript"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1" fontId="2" fillId="0" borderId="8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2" fillId="0" borderId="13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 indent="1"/>
    </xf>
    <xf numFmtId="1" fontId="2" fillId="0" borderId="13" xfId="0" applyNumberFormat="1" applyFont="1" applyBorder="1" applyAlignment="1">
      <alignment horizontal="right" vertical="center"/>
    </xf>
    <xf numFmtId="1" fontId="2" fillId="0" borderId="14" xfId="0" applyNumberFormat="1" applyFont="1" applyBorder="1" applyAlignment="1">
      <alignment horizontal="right" vertical="center"/>
    </xf>
    <xf numFmtId="1" fontId="2" fillId="0" borderId="15" xfId="0" applyNumberFormat="1" applyFont="1" applyBorder="1" applyAlignment="1">
      <alignment horizontal="right" vertical="center"/>
    </xf>
    <xf numFmtId="1" fontId="2" fillId="0" borderId="21" xfId="0" applyNumberFormat="1" applyFont="1" applyBorder="1" applyAlignment="1">
      <alignment horizontal="right" vertical="center"/>
    </xf>
    <xf numFmtId="1" fontId="2" fillId="0" borderId="16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22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right" vertical="center"/>
    </xf>
    <xf numFmtId="1" fontId="2" fillId="0" borderId="23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1" fontId="2" fillId="3" borderId="3" xfId="0" applyNumberFormat="1" applyFont="1" applyFill="1" applyBorder="1" applyAlignment="1">
      <alignment horizontal="right" vertical="center"/>
    </xf>
    <xf numFmtId="1" fontId="2" fillId="3" borderId="4" xfId="0" applyNumberFormat="1" applyFont="1" applyFill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1" fontId="2" fillId="3" borderId="9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" fontId="2" fillId="3" borderId="6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2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2" fontId="2" fillId="4" borderId="3" xfId="0" applyNumberFormat="1" applyFont="1" applyFill="1" applyBorder="1" applyAlignment="1">
      <alignment horizontal="right" vertical="center"/>
    </xf>
    <xf numFmtId="1" fontId="2" fillId="4" borderId="3" xfId="0" applyNumberFormat="1" applyFont="1" applyFill="1" applyBorder="1" applyAlignment="1">
      <alignment horizontal="right" vertical="center"/>
    </xf>
    <xf numFmtId="1" fontId="2" fillId="4" borderId="4" xfId="0" applyNumberFormat="1" applyFont="1" applyFill="1" applyBorder="1" applyAlignment="1">
      <alignment horizontal="right" vertical="center"/>
    </xf>
    <xf numFmtId="2" fontId="2" fillId="4" borderId="8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2" fontId="2" fillId="4" borderId="5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1" fontId="2" fillId="4" borderId="6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1" fontId="2" fillId="6" borderId="3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" xfId="0" applyNumberFormat="1" applyFont="1" applyFill="1" applyBorder="1" applyAlignment="1">
      <alignment horizontal="right" vertical="center"/>
    </xf>
    <xf numFmtId="1" fontId="2" fillId="6" borderId="9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" fontId="2" fillId="6" borderId="6" xfId="0" applyNumberFormat="1" applyFont="1" applyFill="1" applyBorder="1" applyAlignment="1">
      <alignment horizontal="right" vertical="center"/>
    </xf>
    <xf numFmtId="1" fontId="2" fillId="6" borderId="7" xfId="0" applyNumberFormat="1" applyFont="1" applyFill="1" applyBorder="1" applyAlignment="1">
      <alignment horizontal="right" vertical="center"/>
    </xf>
    <xf numFmtId="1" fontId="1" fillId="6" borderId="27" xfId="0" applyNumberFormat="1" applyFont="1" applyFill="1" applyBorder="1" applyAlignment="1">
      <alignment horizontal="right" vertical="center"/>
    </xf>
    <xf numFmtId="1" fontId="1" fillId="6" borderId="28" xfId="0" applyNumberFormat="1" applyFont="1" applyFill="1" applyBorder="1" applyAlignment="1">
      <alignment horizontal="right" vertical="center"/>
    </xf>
    <xf numFmtId="1" fontId="1" fillId="6" borderId="29" xfId="0" applyNumberFormat="1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CEu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'TORSIÓN-TSD'!$B$9:$B$16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-10</c:v>
                </c:pt>
                <c:pt idx="4">
                  <c:v>-8</c:v>
                </c:pt>
              </c:numCache>
            </c:numRef>
          </c:xVal>
          <c:yVal>
            <c:numRef>
              <c:f>'TORSIÓN-TSD'!$C$9:$C$16</c:f>
              <c:numCache>
                <c:formatCode>0.00</c:formatCode>
                <c:ptCount val="8"/>
                <c:pt idx="0">
                  <c:v>-8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3F-4F06-93A7-AA135100D7F4}"/>
            </c:ext>
          </c:extLst>
        </c:ser>
        <c:ser>
          <c:idx val="5"/>
          <c:order val="1"/>
          <c:tx>
            <c:v>CEd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'TORSIÓN-TSD'!$R$9:$R$16</c:f>
              <c:numCache>
                <c:formatCode>0.00</c:formatCode>
                <c:ptCount val="8"/>
                <c:pt idx="0">
                  <c:v>0.26706650503124801</c:v>
                </c:pt>
                <c:pt idx="1">
                  <c:v>-0.21671179408088662</c:v>
                </c:pt>
                <c:pt idx="2">
                  <c:v>10.025177355475181</c:v>
                </c:pt>
                <c:pt idx="3">
                  <c:v>-9.9748226445248189</c:v>
                </c:pt>
                <c:pt idx="4">
                  <c:v>-7.8236419260522769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xVal>
          <c:yVal>
            <c:numRef>
              <c:f>'TORSIÓN-TSD'!$S$9:$S$16</c:f>
              <c:numCache>
                <c:formatCode>0.00</c:formatCode>
                <c:ptCount val="8"/>
                <c:pt idx="0">
                  <c:v>-7.4532034790048725</c:v>
                </c:pt>
                <c:pt idx="1">
                  <c:v>8.5467965209951267</c:v>
                </c:pt>
                <c:pt idx="2">
                  <c:v>0.84915795794021143</c:v>
                </c:pt>
                <c:pt idx="3">
                  <c:v>0.24443508405004311</c:v>
                </c:pt>
                <c:pt idx="4">
                  <c:v>-4.69509262856094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D3F-4F06-93A7-AA135100D7F4}"/>
            </c:ext>
          </c:extLst>
        </c:ser>
        <c:ser>
          <c:idx val="1"/>
          <c:order val="2"/>
          <c:tx>
            <c:v>CR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'TORSIÓN-TSD'!$AD$12</c:f>
              <c:numCache>
                <c:formatCode>0.00</c:formatCode>
                <c:ptCount val="1"/>
                <c:pt idx="0">
                  <c:v>-4.3294117647058821</c:v>
                </c:pt>
              </c:numCache>
            </c:numRef>
          </c:xVal>
          <c:yVal>
            <c:numRef>
              <c:f>'TORSIÓN-TSD'!$AE$12</c:f>
              <c:numCache>
                <c:formatCode>0.00</c:formatCode>
                <c:ptCount val="1"/>
                <c:pt idx="0">
                  <c:v>-1.0096153846153848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D-4450-88CE-7CA586CDDE69}"/>
            </c:ext>
          </c:extLst>
        </c:ser>
        <c:ser>
          <c:idx val="6"/>
          <c:order val="3"/>
          <c:tx>
            <c:v>CM</c:v>
          </c:tx>
          <c:marker>
            <c:spPr>
              <a:ln>
                <a:noFill/>
              </a:ln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85-4E6E-8A52-8ED3938FA82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'TORSIÓN-TSD'!$C$2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'TORSIÓN-TSD'!$C$3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D3F-4F06-93A7-AA135100D7F4}"/>
            </c:ext>
          </c:extLst>
        </c:ser>
        <c:ser>
          <c:idx val="7"/>
          <c:order val="4"/>
          <c:tx>
            <c:v>CF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'TORSIÓN-TSD'!$J$21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'TORSIÓN-TSD'!$J$22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FD3F-4F06-93A7-AA135100D7F4}"/>
            </c:ext>
          </c:extLst>
        </c:ser>
        <c:ser>
          <c:idx val="3"/>
          <c:order val="5"/>
          <c:tx>
            <c:v>E1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'TORSIÓN-TSD'!$T$9:$X$9</c:f>
              <c:numCache>
                <c:formatCode>0.00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-2</c:v>
                </c:pt>
                <c:pt idx="3">
                  <c:v>-2</c:v>
                </c:pt>
                <c:pt idx="4">
                  <c:v>2</c:v>
                </c:pt>
              </c:numCache>
            </c:numRef>
          </c:xVal>
          <c:yVal>
            <c:numRef>
              <c:f>'TORSIÓN-TSD'!$Y$9:$AC$9</c:f>
              <c:numCache>
                <c:formatCode>0.00</c:formatCode>
                <c:ptCount val="5"/>
                <c:pt idx="0">
                  <c:v>-7.9</c:v>
                </c:pt>
                <c:pt idx="1">
                  <c:v>-8.1</c:v>
                </c:pt>
                <c:pt idx="2">
                  <c:v>-8.1</c:v>
                </c:pt>
                <c:pt idx="3">
                  <c:v>-7.9</c:v>
                </c:pt>
                <c:pt idx="4">
                  <c:v>-7.9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D3F-4F06-93A7-AA135100D7F4}"/>
            </c:ext>
          </c:extLst>
        </c:ser>
        <c:ser>
          <c:idx val="8"/>
          <c:order val="6"/>
          <c:tx>
            <c:v>E2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'TORSIÓN-TSD'!$T$10:$X$10</c:f>
              <c:numCache>
                <c:formatCode>0.00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-2</c:v>
                </c:pt>
                <c:pt idx="3">
                  <c:v>-2</c:v>
                </c:pt>
                <c:pt idx="4">
                  <c:v>2</c:v>
                </c:pt>
              </c:numCache>
            </c:numRef>
          </c:xVal>
          <c:yVal>
            <c:numRef>
              <c:f>'TORSIÓN-TSD'!$Y$10:$AC$10</c:f>
              <c:numCache>
                <c:formatCode>0.00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7.9</c:v>
                </c:pt>
                <c:pt idx="3">
                  <c:v>8.1</c:v>
                </c:pt>
                <c:pt idx="4">
                  <c:v>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FD3F-4F06-93A7-AA135100D7F4}"/>
            </c:ext>
          </c:extLst>
        </c:ser>
        <c:ser>
          <c:idx val="9"/>
          <c:order val="7"/>
          <c:tx>
            <c:v>E3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'TORSIÓN-TSD'!$T$11:$X$11</c:f>
              <c:numCache>
                <c:formatCode>0.00</c:formatCode>
                <c:ptCount val="5"/>
                <c:pt idx="0">
                  <c:v>9.9499999999999993</c:v>
                </c:pt>
                <c:pt idx="1">
                  <c:v>10.050000000000001</c:v>
                </c:pt>
                <c:pt idx="2">
                  <c:v>10.050000000000001</c:v>
                </c:pt>
                <c:pt idx="3">
                  <c:v>9.9499999999999993</c:v>
                </c:pt>
                <c:pt idx="4">
                  <c:v>9.9499999999999993</c:v>
                </c:pt>
              </c:numCache>
            </c:numRef>
          </c:xVal>
          <c:yVal>
            <c:numRef>
              <c:f>'TORSIÓN-TSD'!$Y$11:$AC$11</c:f>
              <c:numCache>
                <c:formatCode>0.00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FD3F-4F06-93A7-AA135100D7F4}"/>
            </c:ext>
          </c:extLst>
        </c:ser>
        <c:ser>
          <c:idx val="10"/>
          <c:order val="8"/>
          <c:tx>
            <c:v>E4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'TORSIÓN-TSD'!$T$12:$X$12</c:f>
              <c:numCache>
                <c:formatCode>0.00</c:formatCode>
                <c:ptCount val="5"/>
                <c:pt idx="0">
                  <c:v>-10.1</c:v>
                </c:pt>
                <c:pt idx="1">
                  <c:v>-9.9</c:v>
                </c:pt>
                <c:pt idx="2">
                  <c:v>-9.9</c:v>
                </c:pt>
                <c:pt idx="3">
                  <c:v>-10.1</c:v>
                </c:pt>
                <c:pt idx="4">
                  <c:v>-10.1</c:v>
                </c:pt>
              </c:numCache>
            </c:numRef>
          </c:xVal>
          <c:yVal>
            <c:numRef>
              <c:f>'TORSIÓN-TSD'!$Y$12:$AC$12</c:f>
              <c:numCache>
                <c:formatCode>0.00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-2</c:v>
                </c:pt>
                <c:pt idx="3">
                  <c:v>-2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D3F-4F06-93A7-AA135100D7F4}"/>
            </c:ext>
          </c:extLst>
        </c:ser>
        <c:ser>
          <c:idx val="11"/>
          <c:order val="9"/>
          <c:tx>
            <c:v>E5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'TORSIÓN-TSD'!$T$13:$X$13</c:f>
              <c:numCache>
                <c:formatCode>0.00</c:formatCode>
                <c:ptCount val="5"/>
                <c:pt idx="0">
                  <c:v>-6.5150757595082496</c:v>
                </c:pt>
                <c:pt idx="1">
                  <c:v>-6.6564971157455597</c:v>
                </c:pt>
                <c:pt idx="2">
                  <c:v>-9.4849242404917504</c:v>
                </c:pt>
                <c:pt idx="3">
                  <c:v>-9.3435028842544412</c:v>
                </c:pt>
                <c:pt idx="4">
                  <c:v>-6.5150757595082496</c:v>
                </c:pt>
              </c:numCache>
            </c:numRef>
          </c:xVal>
          <c:yVal>
            <c:numRef>
              <c:f>'TORSIÓN-TSD'!$Y$13:$AC$13</c:f>
              <c:numCache>
                <c:formatCode>0.00</c:formatCode>
                <c:ptCount val="5"/>
                <c:pt idx="0">
                  <c:v>-6.3435028842544403</c:v>
                </c:pt>
                <c:pt idx="1">
                  <c:v>-6.4849242404917495</c:v>
                </c:pt>
                <c:pt idx="2">
                  <c:v>-3.6564971157455597</c:v>
                </c:pt>
                <c:pt idx="3">
                  <c:v>-3.5150757595082505</c:v>
                </c:pt>
                <c:pt idx="4">
                  <c:v>-6.3435028842544403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FD3F-4F06-93A7-AA135100D7F4}"/>
            </c:ext>
          </c:extLst>
        </c:ser>
        <c:ser>
          <c:idx val="12"/>
          <c:order val="10"/>
          <c:tx>
            <c:v>E6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'TORSIÓN-TSD'!$T$14:$X$14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'TORSIÓN-TSD'!$Y$14:$AC$14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FD3F-4F06-93A7-AA135100D7F4}"/>
            </c:ext>
          </c:extLst>
        </c:ser>
        <c:ser>
          <c:idx val="13"/>
          <c:order val="11"/>
          <c:tx>
            <c:v>E7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'TORSIÓN-TSD'!$T$15:$X$15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'TORSIÓN-TSD'!$Y$15:$AC$15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D3F-4F06-93A7-AA135100D7F4}"/>
            </c:ext>
          </c:extLst>
        </c:ser>
        <c:ser>
          <c:idx val="16"/>
          <c:order val="12"/>
          <c:tx>
            <c:v>E8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'TORSIÓN-TSD'!$T$16:$X$16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'TORSIÓN-TSD'!$Y$16:$AC$16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D3F-4F06-93A7-AA135100D7F4}"/>
            </c:ext>
          </c:extLst>
        </c:ser>
        <c:ser>
          <c:idx val="2"/>
          <c:order val="13"/>
          <c:tx>
            <c:v>FS</c:v>
          </c:tx>
          <c:spPr>
            <a:ln w="19050">
              <a:solidFill>
                <a:srgbClr val="FF0000"/>
              </a:solidFill>
              <a:headEnd type="none"/>
              <a:tailEnd type="triangle"/>
            </a:ln>
          </c:spPr>
          <c:marker>
            <c:symbol val="none"/>
          </c:marker>
          <c:xVal>
            <c:numRef>
              <c:f>'TORSIÓN-TSD'!$AD$9:$AD$10</c:f>
              <c:numCache>
                <c:formatCode>0.00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'TORSIÓN-TSD'!$AE$9:$AE$10</c:f>
              <c:numCache>
                <c:formatCode>0.00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1D-4450-88CE-7CA586CD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27471"/>
        <c:axId val="193626031"/>
      </c:scatterChart>
      <c:valAx>
        <c:axId val="1936274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3626031"/>
        <c:crosses val="max"/>
        <c:crossBetween val="midCat"/>
        <c:majorUnit val="1"/>
      </c:valAx>
      <c:valAx>
        <c:axId val="1936260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3627471"/>
        <c:crosses val="max"/>
        <c:crossBetween val="midCat"/>
        <c:maj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19050">
      <a:solidFill>
        <a:schemeClr val="tx1"/>
      </a:solidFill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</xdr:row>
      <xdr:rowOff>0</xdr:rowOff>
    </xdr:from>
    <xdr:to>
      <xdr:col>31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87990BC-7F30-7217-B808-870C2AEE1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21D9-112B-4428-A037-EF254438D10F}">
  <dimension ref="B2:AE39"/>
  <sheetViews>
    <sheetView tabSelected="1" zoomScaleNormal="100" workbookViewId="0">
      <selection activeCell="L34" sqref="L34"/>
    </sheetView>
  </sheetViews>
  <sheetFormatPr defaultColWidth="8.77734375" defaultRowHeight="13.8" x14ac:dyDescent="0.3"/>
  <cols>
    <col min="1" max="1" width="1.77734375" style="3" customWidth="1"/>
    <col min="2" max="9" width="7.77734375" style="3" customWidth="1"/>
    <col min="10" max="16" width="7.77734375" style="6" customWidth="1"/>
    <col min="17" max="17" width="1.77734375" style="3" customWidth="1"/>
    <col min="18" max="31" width="6.77734375" style="3" customWidth="1"/>
    <col min="32" max="32" width="1.77734375" style="3" customWidth="1"/>
    <col min="33" max="16384" width="8.77734375" style="3"/>
  </cols>
  <sheetData>
    <row r="2" spans="2:31" x14ac:dyDescent="0.3">
      <c r="B2" s="1" t="s">
        <v>7</v>
      </c>
      <c r="C2" s="73">
        <v>2</v>
      </c>
      <c r="D2" s="2" t="s">
        <v>9</v>
      </c>
      <c r="F2" s="4" t="s">
        <v>20</v>
      </c>
      <c r="G2" s="74">
        <f>C4*C5</f>
        <v>320</v>
      </c>
      <c r="H2" s="5" t="s">
        <v>15</v>
      </c>
      <c r="J2" s="1" t="s">
        <v>27</v>
      </c>
      <c r="K2" s="73">
        <v>0.5</v>
      </c>
      <c r="L2" s="2"/>
      <c r="M2" s="4" t="s">
        <v>24</v>
      </c>
      <c r="P2" s="88">
        <v>2</v>
      </c>
      <c r="R2" s="7" t="s">
        <v>22</v>
      </c>
      <c r="S2" s="8" cm="1">
        <f t="array" ref="S2">MAX(ABS(J23:J24))</f>
        <v>1600</v>
      </c>
    </row>
    <row r="3" spans="2:31" x14ac:dyDescent="0.3">
      <c r="B3" s="1" t="s">
        <v>8</v>
      </c>
      <c r="C3" s="73">
        <v>1</v>
      </c>
      <c r="D3" s="2" t="s">
        <v>9</v>
      </c>
      <c r="F3" s="4" t="s">
        <v>21</v>
      </c>
      <c r="G3" s="74">
        <v>10</v>
      </c>
      <c r="H3" s="5" t="s">
        <v>16</v>
      </c>
      <c r="J3" s="1" t="s">
        <v>17</v>
      </c>
      <c r="K3" s="9">
        <f>+G2*G3*K2</f>
        <v>1600</v>
      </c>
      <c r="L3" s="2" t="s">
        <v>18</v>
      </c>
      <c r="M3" s="4" t="s">
        <v>25</v>
      </c>
      <c r="P3" s="88">
        <v>2</v>
      </c>
      <c r="R3" s="7" t="s">
        <v>23</v>
      </c>
      <c r="S3" s="8">
        <f>MAX(D9:E16)</f>
        <v>10000</v>
      </c>
    </row>
    <row r="4" spans="2:31" x14ac:dyDescent="0.3">
      <c r="B4" s="4" t="s">
        <v>10</v>
      </c>
      <c r="C4" s="73">
        <f>MAX(B9:B16)-MIN(B9:B16)</f>
        <v>20</v>
      </c>
      <c r="D4" s="2" t="s">
        <v>9</v>
      </c>
      <c r="F4" s="4" t="s">
        <v>11</v>
      </c>
      <c r="G4" s="74">
        <v>20</v>
      </c>
      <c r="H4" s="5" t="s">
        <v>19</v>
      </c>
      <c r="J4" s="4" t="s">
        <v>13</v>
      </c>
      <c r="K4" s="10">
        <f>C4*G4/100</f>
        <v>4</v>
      </c>
      <c r="L4" s="2" t="s">
        <v>9</v>
      </c>
      <c r="M4" s="4" t="s">
        <v>26</v>
      </c>
      <c r="P4" s="88">
        <v>5</v>
      </c>
    </row>
    <row r="5" spans="2:31" x14ac:dyDescent="0.3">
      <c r="B5" s="4" t="s">
        <v>28</v>
      </c>
      <c r="C5" s="73">
        <f>MAX(C9:C16)-MIN(C9:C16)</f>
        <v>16</v>
      </c>
      <c r="D5" s="2" t="s">
        <v>9</v>
      </c>
      <c r="F5" s="4" t="s">
        <v>12</v>
      </c>
      <c r="G5" s="74">
        <v>20</v>
      </c>
      <c r="H5" s="5" t="s">
        <v>19</v>
      </c>
      <c r="J5" s="4" t="s">
        <v>14</v>
      </c>
      <c r="K5" s="10">
        <f>C5*G5/100</f>
        <v>3.2</v>
      </c>
      <c r="L5" s="2" t="s">
        <v>9</v>
      </c>
    </row>
    <row r="6" spans="2:31" ht="14.4" thickBot="1" x14ac:dyDescent="0.35"/>
    <row r="7" spans="2:31" ht="15" x14ac:dyDescent="0.3">
      <c r="B7" s="11" t="s">
        <v>0</v>
      </c>
      <c r="C7" s="12" t="s">
        <v>1</v>
      </c>
      <c r="D7" s="12" t="s">
        <v>54</v>
      </c>
      <c r="E7" s="12" t="s">
        <v>55</v>
      </c>
      <c r="F7" s="13" t="s">
        <v>29</v>
      </c>
      <c r="G7" s="11" t="s">
        <v>56</v>
      </c>
      <c r="H7" s="12" t="s">
        <v>57</v>
      </c>
      <c r="I7" s="12" t="s">
        <v>58</v>
      </c>
      <c r="J7" s="14" t="s">
        <v>59</v>
      </c>
      <c r="K7" s="14" t="s">
        <v>60</v>
      </c>
      <c r="L7" s="14" t="s">
        <v>61</v>
      </c>
      <c r="M7" s="14" t="s">
        <v>62</v>
      </c>
      <c r="N7" s="14" t="s">
        <v>63</v>
      </c>
      <c r="O7" s="14" t="s">
        <v>64</v>
      </c>
      <c r="P7" s="15" t="s">
        <v>65</v>
      </c>
    </row>
    <row r="8" spans="2:31" ht="14.4" thickBot="1" x14ac:dyDescent="0.35">
      <c r="B8" s="16" t="s">
        <v>2</v>
      </c>
      <c r="C8" s="17" t="s">
        <v>2</v>
      </c>
      <c r="D8" s="17" t="s">
        <v>3</v>
      </c>
      <c r="E8" s="17" t="s">
        <v>3</v>
      </c>
      <c r="F8" s="18" t="s">
        <v>4</v>
      </c>
      <c r="G8" s="16" t="s">
        <v>3</v>
      </c>
      <c r="H8" s="17" t="s">
        <v>3</v>
      </c>
      <c r="I8" s="17" t="s">
        <v>3</v>
      </c>
      <c r="J8" s="17" t="s">
        <v>5</v>
      </c>
      <c r="K8" s="17" t="s">
        <v>5</v>
      </c>
      <c r="L8" s="17" t="s">
        <v>5</v>
      </c>
      <c r="M8" s="17" t="s">
        <v>6</v>
      </c>
      <c r="N8" s="17" t="s">
        <v>6</v>
      </c>
      <c r="O8" s="17" t="s">
        <v>6</v>
      </c>
      <c r="P8" s="18" t="s">
        <v>6</v>
      </c>
    </row>
    <row r="9" spans="2:31" x14ac:dyDescent="0.3">
      <c r="B9" s="75">
        <v>0</v>
      </c>
      <c r="C9" s="76">
        <v>-8</v>
      </c>
      <c r="D9" s="77">
        <v>10000</v>
      </c>
      <c r="E9" s="77">
        <f>+D9/20</f>
        <v>500</v>
      </c>
      <c r="F9" s="78">
        <v>0</v>
      </c>
      <c r="G9" s="19">
        <f>D9*(COS(RADIANS(F9)))^2+E9*(SIN(RADIANS(F9)))^2</f>
        <v>10000</v>
      </c>
      <c r="H9" s="20">
        <f>D9*(SIN(RADIANS(F9)))^2+E9*(COS(RADIANS(F9)))^2</f>
        <v>500</v>
      </c>
      <c r="I9" s="20">
        <f>(D9-E9)*(SIN(RADIANS(F9)))*(COS(RADIANS(F9)))</f>
        <v>0</v>
      </c>
      <c r="J9" s="20">
        <f>+G9*C9</f>
        <v>-80000</v>
      </c>
      <c r="K9" s="20">
        <f>+H9*B9</f>
        <v>0</v>
      </c>
      <c r="L9" s="20">
        <f>+I9*B9</f>
        <v>0</v>
      </c>
      <c r="M9" s="20">
        <f>+I9*C9</f>
        <v>0</v>
      </c>
      <c r="N9" s="20">
        <f>+J9*C9</f>
        <v>640000</v>
      </c>
      <c r="O9" s="20">
        <f>+K9*B9</f>
        <v>0</v>
      </c>
      <c r="P9" s="21">
        <f>+I9*B9*C9</f>
        <v>0</v>
      </c>
      <c r="R9" s="22">
        <f>IFERROR(+B9+B30*$P$4,NA())</f>
        <v>0.26706650503124801</v>
      </c>
      <c r="S9" s="22">
        <f>IFERROR(+C9+C30*$P$4,NA())</f>
        <v>-7.4532034790048725</v>
      </c>
      <c r="T9" s="22">
        <f t="shared" ref="T9:T16" si="0">+B9+(+D9*COS(RADIANS(F9))-E9*SIN(RADIANS(F9)))/$S$3*$P$3</f>
        <v>2</v>
      </c>
      <c r="U9" s="22">
        <f t="shared" ref="U9:U16" si="1">+B9+(+D9*COS(RADIANS(F9))+E9*SIN(RADIANS(F9)))/$S$3*$P$3</f>
        <v>2</v>
      </c>
      <c r="V9" s="22">
        <f t="shared" ref="V9:V16" si="2">+B9+(-D9*COS(RADIANS(F9))+E9*SIN(RADIANS(F9)))/$S$3*$P$3</f>
        <v>-2</v>
      </c>
      <c r="W9" s="22">
        <f t="shared" ref="W9:W16" si="3">+B9+(-D9*COS(RADIANS(F9))-E9*SIN(RADIANS(F9)))/$S$3*$P$3</f>
        <v>-2</v>
      </c>
      <c r="X9" s="22">
        <f>+T9</f>
        <v>2</v>
      </c>
      <c r="Y9" s="22">
        <f t="shared" ref="Y9:Y16" si="4">+C9+(+D9*SIN(RADIANS(F9))+E9*COS(RADIANS(F9)))/$S$3*$P$3</f>
        <v>-7.9</v>
      </c>
      <c r="Z9" s="22">
        <f t="shared" ref="Z9:Z16" si="5">+C9+(+D9*SIN(RADIANS(F9))-E9*COS(RADIANS(F9)))/$S$3*$P$3</f>
        <v>-8.1</v>
      </c>
      <c r="AA9" s="22">
        <f t="shared" ref="AA9:AA16" si="6">+C9+(-D9*SIN(RADIANS(F9))-E9*COS(RADIANS(F9)))/$S$3*$P$3</f>
        <v>-8.1</v>
      </c>
      <c r="AB9" s="22">
        <f t="shared" ref="AB9:AB16" si="7">+C9+(-D9*SIN(RADIANS(F9))+E9*COS(RADIANS(F9)))/$S$3*$P$3</f>
        <v>-7.9</v>
      </c>
      <c r="AC9" s="22">
        <f>+Y9</f>
        <v>-7.9</v>
      </c>
      <c r="AD9" s="22">
        <f>+J21</f>
        <v>6</v>
      </c>
      <c r="AE9" s="22">
        <f>+J22</f>
        <v>1</v>
      </c>
    </row>
    <row r="10" spans="2:31" x14ac:dyDescent="0.3">
      <c r="B10" s="79">
        <v>0</v>
      </c>
      <c r="C10" s="80">
        <v>8</v>
      </c>
      <c r="D10" s="81">
        <v>10000</v>
      </c>
      <c r="E10" s="81">
        <f>+D10/20</f>
        <v>500</v>
      </c>
      <c r="F10" s="82">
        <v>0</v>
      </c>
      <c r="G10" s="23">
        <f t="shared" ref="G10:G12" si="8">D10*(COS(RADIANS(F10)))^2+E10*(SIN(RADIANS(F10)))^2</f>
        <v>10000</v>
      </c>
      <c r="H10" s="24">
        <f t="shared" ref="H10:H12" si="9">D10*(SIN(RADIANS(F10)))^2+E10*(COS(RADIANS(F10)))^2</f>
        <v>500</v>
      </c>
      <c r="I10" s="24">
        <f t="shared" ref="I10:I12" si="10">(D10-E10)*(SIN(RADIANS(F10)))*(COS(RADIANS(F10)))</f>
        <v>0</v>
      </c>
      <c r="J10" s="24">
        <f t="shared" ref="J10:J12" si="11">+G10*C10</f>
        <v>80000</v>
      </c>
      <c r="K10" s="24">
        <f t="shared" ref="K10:K12" si="12">+H10*B10</f>
        <v>0</v>
      </c>
      <c r="L10" s="24">
        <f t="shared" ref="L10:L12" si="13">+I10*B10</f>
        <v>0</v>
      </c>
      <c r="M10" s="24">
        <f t="shared" ref="M10:M12" si="14">+I10*C10</f>
        <v>0</v>
      </c>
      <c r="N10" s="24">
        <f t="shared" ref="N10:N12" si="15">+J10*C10</f>
        <v>640000</v>
      </c>
      <c r="O10" s="24">
        <f t="shared" ref="O10:O12" si="16">+K10*B10</f>
        <v>0</v>
      </c>
      <c r="P10" s="25">
        <f t="shared" ref="P10:P12" si="17">+I10*B10*C10</f>
        <v>0</v>
      </c>
      <c r="R10" s="22">
        <f t="shared" ref="R10:R16" si="18">IFERROR(+B10+B31*$P$4,NA())</f>
        <v>-0.21671179408088662</v>
      </c>
      <c r="S10" s="22">
        <f t="shared" ref="S10:S16" si="19">IFERROR(+C10+C31*$P$4,NA())</f>
        <v>8.5467965209951267</v>
      </c>
      <c r="T10" s="22">
        <f t="shared" si="0"/>
        <v>2</v>
      </c>
      <c r="U10" s="22">
        <f t="shared" si="1"/>
        <v>2</v>
      </c>
      <c r="V10" s="22">
        <f t="shared" si="2"/>
        <v>-2</v>
      </c>
      <c r="W10" s="22">
        <f t="shared" si="3"/>
        <v>-2</v>
      </c>
      <c r="X10" s="22">
        <f t="shared" ref="X10:X16" si="20">+T10</f>
        <v>2</v>
      </c>
      <c r="Y10" s="22">
        <f t="shared" si="4"/>
        <v>8.1</v>
      </c>
      <c r="Z10" s="22">
        <f t="shared" si="5"/>
        <v>7.9</v>
      </c>
      <c r="AA10" s="22">
        <f t="shared" si="6"/>
        <v>7.9</v>
      </c>
      <c r="AB10" s="22">
        <f t="shared" si="7"/>
        <v>8.1</v>
      </c>
      <c r="AC10" s="22">
        <f t="shared" ref="AC10:AC16" si="21">+Y10</f>
        <v>8.1</v>
      </c>
      <c r="AD10" s="22">
        <f>+AD9+J23/S2*P2</f>
        <v>6</v>
      </c>
      <c r="AE10" s="22">
        <f>+AE9+J24/S2*P2</f>
        <v>3</v>
      </c>
    </row>
    <row r="11" spans="2:31" x14ac:dyDescent="0.3">
      <c r="B11" s="79">
        <v>10</v>
      </c>
      <c r="C11" s="80">
        <v>0</v>
      </c>
      <c r="D11" s="81">
        <v>5000</v>
      </c>
      <c r="E11" s="81">
        <f>+D11/20</f>
        <v>250</v>
      </c>
      <c r="F11" s="82">
        <v>90</v>
      </c>
      <c r="G11" s="23">
        <f t="shared" si="8"/>
        <v>250</v>
      </c>
      <c r="H11" s="24">
        <f t="shared" si="9"/>
        <v>5000</v>
      </c>
      <c r="I11" s="24">
        <f t="shared" si="10"/>
        <v>2.9097275804079725E-13</v>
      </c>
      <c r="J11" s="24">
        <f t="shared" si="11"/>
        <v>0</v>
      </c>
      <c r="K11" s="24">
        <f t="shared" si="12"/>
        <v>50000</v>
      </c>
      <c r="L11" s="24">
        <f t="shared" si="13"/>
        <v>2.9097275804079725E-12</v>
      </c>
      <c r="M11" s="24">
        <f t="shared" si="14"/>
        <v>0</v>
      </c>
      <c r="N11" s="24">
        <f t="shared" si="15"/>
        <v>0</v>
      </c>
      <c r="O11" s="24">
        <f t="shared" si="16"/>
        <v>500000</v>
      </c>
      <c r="P11" s="25">
        <f t="shared" si="17"/>
        <v>0</v>
      </c>
      <c r="R11" s="22">
        <f t="shared" si="18"/>
        <v>10.025177355475181</v>
      </c>
      <c r="S11" s="22">
        <f t="shared" si="19"/>
        <v>0.84915795794021143</v>
      </c>
      <c r="T11" s="22">
        <f t="shared" si="0"/>
        <v>9.9499999999999993</v>
      </c>
      <c r="U11" s="22">
        <f t="shared" si="1"/>
        <v>10.050000000000001</v>
      </c>
      <c r="V11" s="22">
        <f t="shared" si="2"/>
        <v>10.050000000000001</v>
      </c>
      <c r="W11" s="22">
        <f t="shared" si="3"/>
        <v>9.9499999999999993</v>
      </c>
      <c r="X11" s="22">
        <f t="shared" si="20"/>
        <v>9.9499999999999993</v>
      </c>
      <c r="Y11" s="22">
        <f t="shared" si="4"/>
        <v>1</v>
      </c>
      <c r="Z11" s="22">
        <f t="shared" si="5"/>
        <v>1</v>
      </c>
      <c r="AA11" s="22">
        <f t="shared" si="6"/>
        <v>-1</v>
      </c>
      <c r="AB11" s="22">
        <f t="shared" si="7"/>
        <v>-1</v>
      </c>
      <c r="AC11" s="22">
        <f t="shared" si="21"/>
        <v>1</v>
      </c>
      <c r="AD11" s="7"/>
      <c r="AE11" s="7"/>
    </row>
    <row r="12" spans="2:31" x14ac:dyDescent="0.3">
      <c r="B12" s="79">
        <v>-10</v>
      </c>
      <c r="C12" s="80">
        <v>0</v>
      </c>
      <c r="D12" s="81">
        <v>10000</v>
      </c>
      <c r="E12" s="81">
        <f>+D12/20</f>
        <v>500</v>
      </c>
      <c r="F12" s="82">
        <v>90</v>
      </c>
      <c r="G12" s="23">
        <f t="shared" si="8"/>
        <v>500</v>
      </c>
      <c r="H12" s="24">
        <f t="shared" si="9"/>
        <v>10000</v>
      </c>
      <c r="I12" s="24">
        <f t="shared" si="10"/>
        <v>5.819455160815945E-13</v>
      </c>
      <c r="J12" s="24">
        <f t="shared" si="11"/>
        <v>0</v>
      </c>
      <c r="K12" s="24">
        <f t="shared" si="12"/>
        <v>-100000</v>
      </c>
      <c r="L12" s="24">
        <f t="shared" si="13"/>
        <v>-5.819455160815945E-12</v>
      </c>
      <c r="M12" s="24">
        <f t="shared" si="14"/>
        <v>0</v>
      </c>
      <c r="N12" s="24">
        <f t="shared" si="15"/>
        <v>0</v>
      </c>
      <c r="O12" s="24">
        <f t="shared" si="16"/>
        <v>1000000</v>
      </c>
      <c r="P12" s="25">
        <f t="shared" si="17"/>
        <v>0</v>
      </c>
      <c r="R12" s="22">
        <f t="shared" si="18"/>
        <v>-9.9748226445248189</v>
      </c>
      <c r="S12" s="22">
        <f t="shared" si="19"/>
        <v>0.24443508405004311</v>
      </c>
      <c r="T12" s="22">
        <f t="shared" si="0"/>
        <v>-10.1</v>
      </c>
      <c r="U12" s="22">
        <f t="shared" si="1"/>
        <v>-9.9</v>
      </c>
      <c r="V12" s="22">
        <f t="shared" si="2"/>
        <v>-9.9</v>
      </c>
      <c r="W12" s="22">
        <f t="shared" si="3"/>
        <v>-10.1</v>
      </c>
      <c r="X12" s="22">
        <f t="shared" si="20"/>
        <v>-10.1</v>
      </c>
      <c r="Y12" s="22">
        <f t="shared" si="4"/>
        <v>2</v>
      </c>
      <c r="Z12" s="22">
        <f t="shared" si="5"/>
        <v>2</v>
      </c>
      <c r="AA12" s="22">
        <f t="shared" si="6"/>
        <v>-2</v>
      </c>
      <c r="AB12" s="22">
        <f t="shared" si="7"/>
        <v>-2</v>
      </c>
      <c r="AC12" s="22">
        <f t="shared" si="21"/>
        <v>2</v>
      </c>
      <c r="AD12" s="22">
        <f>+K17/H17</f>
        <v>-4.3294117647058821</v>
      </c>
      <c r="AE12" s="22">
        <f>+J17/G17</f>
        <v>-1.0096153846153848</v>
      </c>
    </row>
    <row r="13" spans="2:31" x14ac:dyDescent="0.3">
      <c r="B13" s="79">
        <v>-8</v>
      </c>
      <c r="C13" s="80">
        <v>-5</v>
      </c>
      <c r="D13" s="81">
        <v>10000</v>
      </c>
      <c r="E13" s="81">
        <f>+D13/20</f>
        <v>500</v>
      </c>
      <c r="F13" s="82">
        <v>-45</v>
      </c>
      <c r="G13" s="23">
        <f t="shared" ref="G13:G16" si="22">D13*(COS(RADIANS(F13)))^2+E13*(SIN(RADIANS(F13)))^2</f>
        <v>5250.0000000000009</v>
      </c>
      <c r="H13" s="24">
        <f t="shared" ref="H13:H16" si="23">D13*(SIN(RADIANS(F13)))^2+E13*(COS(RADIANS(F13)))^2</f>
        <v>5249.9999999999991</v>
      </c>
      <c r="I13" s="24">
        <f t="shared" ref="I13:I16" si="24">(D13-E13)*(SIN(RADIANS(F13)))*(COS(RADIANS(F13)))</f>
        <v>-4750</v>
      </c>
      <c r="J13" s="24">
        <f t="shared" ref="J13:J16" si="25">+G13*C13</f>
        <v>-26250.000000000004</v>
      </c>
      <c r="K13" s="24">
        <f t="shared" ref="K13:K16" si="26">+H13*B13</f>
        <v>-41999.999999999993</v>
      </c>
      <c r="L13" s="24">
        <f t="shared" ref="L13:L16" si="27">+I13*B13</f>
        <v>38000</v>
      </c>
      <c r="M13" s="24">
        <f t="shared" ref="M13:M16" si="28">+I13*C13</f>
        <v>23750</v>
      </c>
      <c r="N13" s="24">
        <f t="shared" ref="N13:N16" si="29">+J13*C13</f>
        <v>131250.00000000003</v>
      </c>
      <c r="O13" s="24">
        <f t="shared" ref="O13:O16" si="30">+K13*B13</f>
        <v>335999.99999999994</v>
      </c>
      <c r="P13" s="25">
        <f t="shared" ref="P13:P16" si="31">+I13*B13*C13</f>
        <v>-190000</v>
      </c>
      <c r="R13" s="22">
        <f t="shared" si="18"/>
        <v>-7.8236419260522769</v>
      </c>
      <c r="S13" s="22">
        <f t="shared" si="19"/>
        <v>-4.69509262856094</v>
      </c>
      <c r="T13" s="22">
        <f t="shared" si="0"/>
        <v>-6.5150757595082496</v>
      </c>
      <c r="U13" s="22">
        <f t="shared" si="1"/>
        <v>-6.6564971157455597</v>
      </c>
      <c r="V13" s="22">
        <f t="shared" si="2"/>
        <v>-9.4849242404917504</v>
      </c>
      <c r="W13" s="22">
        <f t="shared" si="3"/>
        <v>-9.3435028842544412</v>
      </c>
      <c r="X13" s="22">
        <f t="shared" si="20"/>
        <v>-6.5150757595082496</v>
      </c>
      <c r="Y13" s="22">
        <f t="shared" si="4"/>
        <v>-6.3435028842544403</v>
      </c>
      <c r="Z13" s="22">
        <f t="shared" si="5"/>
        <v>-6.4849242404917495</v>
      </c>
      <c r="AA13" s="22">
        <f t="shared" si="6"/>
        <v>-3.6564971157455597</v>
      </c>
      <c r="AB13" s="22">
        <f t="shared" si="7"/>
        <v>-3.5150757595082505</v>
      </c>
      <c r="AC13" s="22">
        <f t="shared" si="21"/>
        <v>-6.3435028842544403</v>
      </c>
      <c r="AD13" s="7"/>
      <c r="AE13" s="7"/>
    </row>
    <row r="14" spans="2:31" x14ac:dyDescent="0.3">
      <c r="B14" s="79"/>
      <c r="C14" s="80"/>
      <c r="D14" s="81"/>
      <c r="E14" s="81"/>
      <c r="F14" s="82"/>
      <c r="G14" s="23">
        <f t="shared" si="22"/>
        <v>0</v>
      </c>
      <c r="H14" s="24">
        <f t="shared" si="23"/>
        <v>0</v>
      </c>
      <c r="I14" s="24">
        <f t="shared" si="24"/>
        <v>0</v>
      </c>
      <c r="J14" s="24">
        <f t="shared" si="25"/>
        <v>0</v>
      </c>
      <c r="K14" s="24">
        <f t="shared" si="26"/>
        <v>0</v>
      </c>
      <c r="L14" s="24">
        <f t="shared" si="27"/>
        <v>0</v>
      </c>
      <c r="M14" s="24">
        <f t="shared" si="28"/>
        <v>0</v>
      </c>
      <c r="N14" s="24">
        <f t="shared" si="29"/>
        <v>0</v>
      </c>
      <c r="O14" s="24">
        <f t="shared" si="30"/>
        <v>0</v>
      </c>
      <c r="P14" s="25">
        <f t="shared" si="31"/>
        <v>0</v>
      </c>
      <c r="R14" s="22" t="e">
        <f t="shared" si="18"/>
        <v>#N/A</v>
      </c>
      <c r="S14" s="22" t="e">
        <f t="shared" si="19"/>
        <v>#N/A</v>
      </c>
      <c r="T14" s="22">
        <f t="shared" si="0"/>
        <v>0</v>
      </c>
      <c r="U14" s="22">
        <f t="shared" si="1"/>
        <v>0</v>
      </c>
      <c r="V14" s="22">
        <f t="shared" si="2"/>
        <v>0</v>
      </c>
      <c r="W14" s="22">
        <f t="shared" si="3"/>
        <v>0</v>
      </c>
      <c r="X14" s="22">
        <f t="shared" si="20"/>
        <v>0</v>
      </c>
      <c r="Y14" s="22">
        <f t="shared" si="4"/>
        <v>0</v>
      </c>
      <c r="Z14" s="22">
        <f t="shared" si="5"/>
        <v>0</v>
      </c>
      <c r="AA14" s="22">
        <f t="shared" si="6"/>
        <v>0</v>
      </c>
      <c r="AB14" s="22">
        <f t="shared" si="7"/>
        <v>0</v>
      </c>
      <c r="AC14" s="22">
        <f t="shared" si="21"/>
        <v>0</v>
      </c>
      <c r="AD14" s="7"/>
      <c r="AE14" s="7"/>
    </row>
    <row r="15" spans="2:31" x14ac:dyDescent="0.3">
      <c r="B15" s="79"/>
      <c r="C15" s="80"/>
      <c r="D15" s="81"/>
      <c r="E15" s="81"/>
      <c r="F15" s="82"/>
      <c r="G15" s="23">
        <f t="shared" si="22"/>
        <v>0</v>
      </c>
      <c r="H15" s="24">
        <f t="shared" si="23"/>
        <v>0</v>
      </c>
      <c r="I15" s="24">
        <f t="shared" si="24"/>
        <v>0</v>
      </c>
      <c r="J15" s="24">
        <f t="shared" si="25"/>
        <v>0</v>
      </c>
      <c r="K15" s="24">
        <f t="shared" si="26"/>
        <v>0</v>
      </c>
      <c r="L15" s="24">
        <f t="shared" si="27"/>
        <v>0</v>
      </c>
      <c r="M15" s="24">
        <f t="shared" si="28"/>
        <v>0</v>
      </c>
      <c r="N15" s="24">
        <f t="shared" si="29"/>
        <v>0</v>
      </c>
      <c r="O15" s="24">
        <f t="shared" si="30"/>
        <v>0</v>
      </c>
      <c r="P15" s="25">
        <f t="shared" si="31"/>
        <v>0</v>
      </c>
      <c r="R15" s="22" t="e">
        <f t="shared" si="18"/>
        <v>#N/A</v>
      </c>
      <c r="S15" s="22" t="e">
        <f t="shared" si="19"/>
        <v>#N/A</v>
      </c>
      <c r="T15" s="22">
        <f t="shared" si="0"/>
        <v>0</v>
      </c>
      <c r="U15" s="22">
        <f t="shared" si="1"/>
        <v>0</v>
      </c>
      <c r="V15" s="22">
        <f t="shared" si="2"/>
        <v>0</v>
      </c>
      <c r="W15" s="22">
        <f t="shared" si="3"/>
        <v>0</v>
      </c>
      <c r="X15" s="22">
        <f t="shared" si="20"/>
        <v>0</v>
      </c>
      <c r="Y15" s="22">
        <f t="shared" si="4"/>
        <v>0</v>
      </c>
      <c r="Z15" s="22">
        <f t="shared" si="5"/>
        <v>0</v>
      </c>
      <c r="AA15" s="22">
        <f t="shared" si="6"/>
        <v>0</v>
      </c>
      <c r="AB15" s="22">
        <f t="shared" si="7"/>
        <v>0</v>
      </c>
      <c r="AC15" s="22">
        <f t="shared" si="21"/>
        <v>0</v>
      </c>
      <c r="AD15" s="7"/>
      <c r="AE15" s="7"/>
    </row>
    <row r="16" spans="2:31" ht="14.4" thickBot="1" x14ac:dyDescent="0.35">
      <c r="B16" s="83"/>
      <c r="C16" s="84"/>
      <c r="D16" s="85"/>
      <c r="E16" s="85"/>
      <c r="F16" s="86"/>
      <c r="G16" s="26">
        <f t="shared" si="22"/>
        <v>0</v>
      </c>
      <c r="H16" s="27">
        <f t="shared" si="23"/>
        <v>0</v>
      </c>
      <c r="I16" s="27">
        <f t="shared" si="24"/>
        <v>0</v>
      </c>
      <c r="J16" s="27">
        <f t="shared" si="25"/>
        <v>0</v>
      </c>
      <c r="K16" s="27">
        <f t="shared" si="26"/>
        <v>0</v>
      </c>
      <c r="L16" s="27">
        <f t="shared" si="27"/>
        <v>0</v>
      </c>
      <c r="M16" s="27">
        <f t="shared" si="28"/>
        <v>0</v>
      </c>
      <c r="N16" s="27">
        <f t="shared" si="29"/>
        <v>0</v>
      </c>
      <c r="O16" s="27">
        <f t="shared" si="30"/>
        <v>0</v>
      </c>
      <c r="P16" s="28">
        <f t="shared" si="31"/>
        <v>0</v>
      </c>
      <c r="R16" s="22" t="e">
        <f t="shared" si="18"/>
        <v>#N/A</v>
      </c>
      <c r="S16" s="22" t="e">
        <f t="shared" si="19"/>
        <v>#N/A</v>
      </c>
      <c r="T16" s="22">
        <f t="shared" si="0"/>
        <v>0</v>
      </c>
      <c r="U16" s="22">
        <f t="shared" si="1"/>
        <v>0</v>
      </c>
      <c r="V16" s="22">
        <f t="shared" si="2"/>
        <v>0</v>
      </c>
      <c r="W16" s="22">
        <f t="shared" si="3"/>
        <v>0</v>
      </c>
      <c r="X16" s="22">
        <f t="shared" si="20"/>
        <v>0</v>
      </c>
      <c r="Y16" s="22">
        <f t="shared" si="4"/>
        <v>0</v>
      </c>
      <c r="Z16" s="22">
        <f t="shared" si="5"/>
        <v>0</v>
      </c>
      <c r="AA16" s="22">
        <f t="shared" si="6"/>
        <v>0</v>
      </c>
      <c r="AB16" s="22">
        <f t="shared" si="7"/>
        <v>0</v>
      </c>
      <c r="AC16" s="22">
        <f t="shared" si="21"/>
        <v>0</v>
      </c>
      <c r="AD16" s="7"/>
      <c r="AE16" s="7"/>
    </row>
    <row r="17" spans="2:16" ht="14.4" thickBot="1" x14ac:dyDescent="0.35">
      <c r="B17" s="29"/>
      <c r="C17" s="29"/>
      <c r="D17" s="29"/>
      <c r="E17" s="29"/>
      <c r="F17" s="29" t="s">
        <v>53</v>
      </c>
      <c r="G17" s="30">
        <f t="shared" ref="G17:P17" si="32">SUM(G9:G16)</f>
        <v>26000</v>
      </c>
      <c r="H17" s="31">
        <f t="shared" si="32"/>
        <v>21250</v>
      </c>
      <c r="I17" s="31">
        <f t="shared" si="32"/>
        <v>-4749.9999999999991</v>
      </c>
      <c r="J17" s="31">
        <f t="shared" si="32"/>
        <v>-26250.000000000004</v>
      </c>
      <c r="K17" s="31">
        <f t="shared" si="32"/>
        <v>-92000</v>
      </c>
      <c r="L17" s="31">
        <f t="shared" si="32"/>
        <v>38000</v>
      </c>
      <c r="M17" s="31">
        <f t="shared" si="32"/>
        <v>23750</v>
      </c>
      <c r="N17" s="31">
        <f t="shared" si="32"/>
        <v>1411250</v>
      </c>
      <c r="O17" s="31">
        <f t="shared" si="32"/>
        <v>1836000</v>
      </c>
      <c r="P17" s="32">
        <f t="shared" si="32"/>
        <v>-190000</v>
      </c>
    </row>
    <row r="19" spans="2:16" x14ac:dyDescent="0.3">
      <c r="B19" s="70" t="s">
        <v>49</v>
      </c>
      <c r="C19" s="70"/>
      <c r="D19" s="70"/>
      <c r="E19" s="70"/>
      <c r="F19" s="70"/>
      <c r="G19" s="70"/>
      <c r="H19" s="70"/>
      <c r="I19" s="70"/>
      <c r="J19" s="34"/>
      <c r="K19" s="34"/>
      <c r="M19" s="34"/>
      <c r="N19" s="34"/>
    </row>
    <row r="20" spans="2:16" ht="14.4" thickBot="1" x14ac:dyDescent="0.35">
      <c r="B20" s="33" t="s">
        <v>41</v>
      </c>
      <c r="C20" s="33" t="s">
        <v>42</v>
      </c>
      <c r="D20" s="34" t="s">
        <v>48</v>
      </c>
      <c r="E20" s="34" t="s">
        <v>43</v>
      </c>
      <c r="F20" s="33" t="s">
        <v>44</v>
      </c>
      <c r="G20" s="33" t="s">
        <v>45</v>
      </c>
      <c r="H20" s="34" t="s">
        <v>46</v>
      </c>
      <c r="I20" s="34" t="s">
        <v>47</v>
      </c>
      <c r="J20" s="87" t="s">
        <v>48</v>
      </c>
      <c r="K20" s="3"/>
    </row>
    <row r="21" spans="2:16" x14ac:dyDescent="0.3">
      <c r="B21" s="35">
        <f>+C2</f>
        <v>2</v>
      </c>
      <c r="C21" s="36">
        <f>+C2</f>
        <v>2</v>
      </c>
      <c r="D21" s="36">
        <f>+C2+K4</f>
        <v>6</v>
      </c>
      <c r="E21" s="36">
        <f>+C2-K4</f>
        <v>-2</v>
      </c>
      <c r="F21" s="36">
        <f>+B21</f>
        <v>2</v>
      </c>
      <c r="G21" s="36">
        <f t="shared" ref="G21:I22" si="33">+C21</f>
        <v>2</v>
      </c>
      <c r="H21" s="36">
        <f t="shared" si="33"/>
        <v>6</v>
      </c>
      <c r="I21" s="37">
        <f t="shared" si="33"/>
        <v>-2</v>
      </c>
      <c r="J21" s="38">
        <f>_xlfn.XLOOKUP($J$20,$B$20:$I$20,B21:I21)</f>
        <v>6</v>
      </c>
      <c r="K21" s="3"/>
      <c r="L21" s="72" t="s">
        <v>52</v>
      </c>
      <c r="M21" s="72"/>
      <c r="N21" s="72"/>
      <c r="O21" s="72"/>
      <c r="P21" s="72"/>
    </row>
    <row r="22" spans="2:16" ht="14.4" thickBot="1" x14ac:dyDescent="0.35">
      <c r="B22" s="39">
        <f>+C3+K5</f>
        <v>4.2</v>
      </c>
      <c r="C22" s="10">
        <f>+C3-K5</f>
        <v>-2.2000000000000002</v>
      </c>
      <c r="D22" s="10">
        <f>+C3</f>
        <v>1</v>
      </c>
      <c r="E22" s="10">
        <f>+C3</f>
        <v>1</v>
      </c>
      <c r="F22" s="10">
        <f>+B22</f>
        <v>4.2</v>
      </c>
      <c r="G22" s="10">
        <f t="shared" si="33"/>
        <v>-2.2000000000000002</v>
      </c>
      <c r="H22" s="10">
        <f t="shared" si="33"/>
        <v>1</v>
      </c>
      <c r="I22" s="40">
        <f t="shared" si="33"/>
        <v>1</v>
      </c>
      <c r="J22" s="41">
        <f>_xlfn.XLOOKUP($J$20,$B$20:$I$20,B22:I22)</f>
        <v>1</v>
      </c>
      <c r="K22" s="42"/>
      <c r="L22" s="34" t="s">
        <v>38</v>
      </c>
      <c r="M22" s="34" t="s">
        <v>39</v>
      </c>
      <c r="N22" s="34"/>
      <c r="O22" s="34" t="s">
        <v>40</v>
      </c>
    </row>
    <row r="23" spans="2:16" x14ac:dyDescent="0.3">
      <c r="B23" s="43">
        <f>+K3</f>
        <v>1600</v>
      </c>
      <c r="C23" s="44">
        <f>+K3</f>
        <v>1600</v>
      </c>
      <c r="D23" s="44">
        <v>0</v>
      </c>
      <c r="E23" s="44">
        <v>0</v>
      </c>
      <c r="F23" s="44">
        <f>-B23</f>
        <v>-1600</v>
      </c>
      <c r="G23" s="44">
        <f t="shared" ref="G23:I23" si="34">-C23</f>
        <v>-1600</v>
      </c>
      <c r="H23" s="44">
        <f t="shared" si="34"/>
        <v>0</v>
      </c>
      <c r="I23" s="45">
        <f t="shared" si="34"/>
        <v>0</v>
      </c>
      <c r="J23" s="45">
        <f>_xlfn.XLOOKUP($J$20,$B$20:$I$20,B23:I23)</f>
        <v>0</v>
      </c>
      <c r="L23" s="46">
        <f>+J23</f>
        <v>0</v>
      </c>
      <c r="M23" s="67">
        <f t="array" ref="M23:M25">MMULT(MINVERSE(N23:P25),L23:L25)</f>
        <v>5.0354710950361358E-3</v>
      </c>
      <c r="N23" s="43">
        <f>G17</f>
        <v>26000</v>
      </c>
      <c r="O23" s="44">
        <f>+I17</f>
        <v>-4749.9999999999991</v>
      </c>
      <c r="P23" s="45">
        <f>-J17+L17</f>
        <v>64250</v>
      </c>
    </row>
    <row r="24" spans="2:16" x14ac:dyDescent="0.3">
      <c r="B24" s="47">
        <v>0</v>
      </c>
      <c r="C24" s="9">
        <v>0</v>
      </c>
      <c r="D24" s="9">
        <f>+K3</f>
        <v>1600</v>
      </c>
      <c r="E24" s="9">
        <f>+K3</f>
        <v>1600</v>
      </c>
      <c r="F24" s="9">
        <f t="shared" ref="F24" si="35">-B24</f>
        <v>0</v>
      </c>
      <c r="G24" s="9">
        <f t="shared" ref="G24" si="36">-C24</f>
        <v>0</v>
      </c>
      <c r="H24" s="9">
        <f t="shared" ref="H24" si="37">-D24</f>
        <v>-1600</v>
      </c>
      <c r="I24" s="48">
        <f t="shared" ref="I24" si="38">-E24</f>
        <v>-1600</v>
      </c>
      <c r="J24" s="48">
        <f>_xlfn.XLOOKUP($J$20,$B$20:$I$20,B24:I24)</f>
        <v>1600</v>
      </c>
      <c r="L24" s="49">
        <f>+J24</f>
        <v>1600</v>
      </c>
      <c r="M24" s="68">
        <v>0.10935930419902545</v>
      </c>
      <c r="N24" s="47">
        <f>+I17</f>
        <v>-4749.9999999999991</v>
      </c>
      <c r="O24" s="9">
        <f>+H17</f>
        <v>21250</v>
      </c>
      <c r="P24" s="48">
        <f>+K17-M17</f>
        <v>-115750</v>
      </c>
    </row>
    <row r="25" spans="2:16" ht="14.4" thickBot="1" x14ac:dyDescent="0.35">
      <c r="B25" s="50">
        <f>-B23*B22+B24*B21</f>
        <v>-6720</v>
      </c>
      <c r="C25" s="51">
        <f t="shared" ref="C25:I25" si="39">-C23*C22+C24*C21</f>
        <v>3520.0000000000005</v>
      </c>
      <c r="D25" s="51">
        <f t="shared" si="39"/>
        <v>9600</v>
      </c>
      <c r="E25" s="51">
        <f t="shared" si="39"/>
        <v>-3200</v>
      </c>
      <c r="F25" s="51">
        <f t="shared" si="39"/>
        <v>6720</v>
      </c>
      <c r="G25" s="51">
        <f t="shared" si="39"/>
        <v>-3520.0000000000005</v>
      </c>
      <c r="H25" s="51">
        <f t="shared" si="39"/>
        <v>-9600</v>
      </c>
      <c r="I25" s="52">
        <f t="shared" si="39"/>
        <v>3200</v>
      </c>
      <c r="J25" s="52">
        <f>_xlfn.XLOOKUP($J$20,$B$20:$I$20,B25:I25)</f>
        <v>9600</v>
      </c>
      <c r="L25" s="53">
        <f>+J25</f>
        <v>9600</v>
      </c>
      <c r="M25" s="69">
        <v>6.0472287389016829E-3</v>
      </c>
      <c r="N25" s="50">
        <f>-J17+L17</f>
        <v>64250</v>
      </c>
      <c r="O25" s="51">
        <f>+K17-M17</f>
        <v>-115750</v>
      </c>
      <c r="P25" s="52">
        <f>+N17+O17-2*P17</f>
        <v>3627250</v>
      </c>
    </row>
    <row r="27" spans="2:16" ht="14.4" thickBot="1" x14ac:dyDescent="0.35">
      <c r="B27" s="71" t="s">
        <v>51</v>
      </c>
      <c r="C27" s="71"/>
      <c r="D27" s="71"/>
      <c r="E27" s="71"/>
      <c r="F27" s="71"/>
      <c r="G27" s="71"/>
      <c r="H27" s="71"/>
      <c r="I27" s="71"/>
      <c r="J27" s="71"/>
    </row>
    <row r="28" spans="2:16" x14ac:dyDescent="0.3">
      <c r="B28" s="101" t="s">
        <v>30</v>
      </c>
      <c r="C28" s="102" t="s">
        <v>31</v>
      </c>
      <c r="D28" s="102" t="s">
        <v>32</v>
      </c>
      <c r="E28" s="102" t="s">
        <v>33</v>
      </c>
      <c r="F28" s="102" t="s">
        <v>34</v>
      </c>
      <c r="G28" s="103" t="s">
        <v>35</v>
      </c>
      <c r="H28" s="101" t="s">
        <v>36</v>
      </c>
      <c r="I28" s="102" t="s">
        <v>37</v>
      </c>
      <c r="J28" s="103" t="s">
        <v>50</v>
      </c>
    </row>
    <row r="29" spans="2:16" ht="14.4" thickBot="1" x14ac:dyDescent="0.35">
      <c r="B29" s="104" t="s">
        <v>2</v>
      </c>
      <c r="C29" s="105" t="s">
        <v>2</v>
      </c>
      <c r="D29" s="105" t="s">
        <v>2</v>
      </c>
      <c r="E29" s="105" t="s">
        <v>2</v>
      </c>
      <c r="F29" s="105" t="s">
        <v>5</v>
      </c>
      <c r="G29" s="106" t="s">
        <v>5</v>
      </c>
      <c r="H29" s="104" t="s">
        <v>5</v>
      </c>
      <c r="I29" s="105" t="s">
        <v>5</v>
      </c>
      <c r="J29" s="106" t="s">
        <v>6</v>
      </c>
    </row>
    <row r="30" spans="2:16" x14ac:dyDescent="0.3">
      <c r="B30" s="54">
        <f>IF(C9="","",$M$23-$M$25*C9)</f>
        <v>5.3413301006249601E-2</v>
      </c>
      <c r="C30" s="55">
        <f>IF(B9="","",$M$24+$M$25*B9)</f>
        <v>0.10935930419902545</v>
      </c>
      <c r="D30" s="55">
        <f>IFERROR(+B30*COS(RADIANS(F9))+C30*SIN(RADIANS(F9)),"")</f>
        <v>5.3413301006249601E-2</v>
      </c>
      <c r="E30" s="55">
        <f>IFERROR(-B30*SIN(RADIANS(F9))+C30*COS(RADIANS(F9)),"")</f>
        <v>0.10935930419902545</v>
      </c>
      <c r="F30" s="56">
        <f>IFERROR(+D30*D9,"")</f>
        <v>534.13301006249606</v>
      </c>
      <c r="G30" s="57">
        <f>IFERROR(+E30*E9,"")</f>
        <v>54.67965209951273</v>
      </c>
      <c r="H30" s="89">
        <f>IFERROR(+F30*COS(RADIANS(F9))-G30*SIN(RADIANS(F9)),0)</f>
        <v>534.13301006249606</v>
      </c>
      <c r="I30" s="90">
        <f>IFERROR(G30*COS(RADIANS(F9))+F30*SIN(RADIANS(F9)),0)</f>
        <v>54.67965209951273</v>
      </c>
      <c r="J30" s="91">
        <f>IFERROR(-H30*C9+I30*B9,0)</f>
        <v>4273.0640804999684</v>
      </c>
    </row>
    <row r="31" spans="2:16" x14ac:dyDescent="0.3">
      <c r="B31" s="58">
        <f t="shared" ref="B31:B37" si="40">IF(C10="","",$M$23-$M$25*C10)</f>
        <v>-4.3342358816177325E-2</v>
      </c>
      <c r="C31" s="65">
        <f t="shared" ref="C31:C37" si="41">IF(B10="","",$M$24+$M$25*B10)</f>
        <v>0.10935930419902545</v>
      </c>
      <c r="D31" s="65">
        <f t="shared" ref="D31:D37" si="42">IFERROR(+B31*COS(RADIANS(F10))+C31*SIN(RADIANS(F10)),"")</f>
        <v>-4.3342358816177325E-2</v>
      </c>
      <c r="E31" s="65">
        <f t="shared" ref="E31:E37" si="43">IFERROR(-B31*SIN(RADIANS(F10))+C31*COS(RADIANS(F10)),"")</f>
        <v>0.10935930419902545</v>
      </c>
      <c r="F31" s="59">
        <f t="shared" ref="F31:F37" si="44">IFERROR(+D31*D10,"")</f>
        <v>-433.42358816177324</v>
      </c>
      <c r="G31" s="60">
        <f t="shared" ref="G31:G37" si="45">IFERROR(+E31*E10,"")</f>
        <v>54.67965209951273</v>
      </c>
      <c r="H31" s="92">
        <f t="shared" ref="H31:H37" si="46">IFERROR(+F31*COS(RADIANS(F10))-G31*SIN(RADIANS(F10)),0)</f>
        <v>-433.42358816177324</v>
      </c>
      <c r="I31" s="93">
        <f t="shared" ref="I31:I37" si="47">IFERROR(G31*COS(RADIANS(F10))+F31*SIN(RADIANS(F10)),0)</f>
        <v>54.67965209951273</v>
      </c>
      <c r="J31" s="94">
        <f t="shared" ref="J31:J37" si="48">IFERROR(-H31*C10+I31*B10,0)</f>
        <v>3467.3887052941859</v>
      </c>
    </row>
    <row r="32" spans="2:16" x14ac:dyDescent="0.3">
      <c r="B32" s="58">
        <f t="shared" si="40"/>
        <v>5.0354710950361358E-3</v>
      </c>
      <c r="C32" s="65">
        <f t="shared" si="41"/>
        <v>0.16983159158804229</v>
      </c>
      <c r="D32" s="65">
        <f t="shared" si="42"/>
        <v>0.16983159158804229</v>
      </c>
      <c r="E32" s="65">
        <f t="shared" si="43"/>
        <v>-5.0354710950361254E-3</v>
      </c>
      <c r="F32" s="59">
        <f t="shared" si="44"/>
        <v>849.15795794021142</v>
      </c>
      <c r="G32" s="60">
        <f t="shared" si="45"/>
        <v>-1.2588677737590312</v>
      </c>
      <c r="H32" s="92">
        <f t="shared" si="46"/>
        <v>1.2588677737590832</v>
      </c>
      <c r="I32" s="93">
        <f t="shared" si="47"/>
        <v>849.15795794021142</v>
      </c>
      <c r="J32" s="94">
        <f t="shared" si="48"/>
        <v>8491.5795794021142</v>
      </c>
      <c r="L32" s="3"/>
    </row>
    <row r="33" spans="2:22" x14ac:dyDescent="0.3">
      <c r="B33" s="58">
        <f t="shared" si="40"/>
        <v>5.0354710950361358E-3</v>
      </c>
      <c r="C33" s="65">
        <f t="shared" si="41"/>
        <v>4.8887016810008621E-2</v>
      </c>
      <c r="D33" s="65">
        <f t="shared" si="42"/>
        <v>4.8887016810008621E-2</v>
      </c>
      <c r="E33" s="65">
        <f t="shared" si="43"/>
        <v>-5.0354710950361332E-3</v>
      </c>
      <c r="F33" s="59">
        <f t="shared" si="44"/>
        <v>488.87016810008623</v>
      </c>
      <c r="G33" s="60">
        <f t="shared" si="45"/>
        <v>-2.5177355475180665</v>
      </c>
      <c r="H33" s="92">
        <f t="shared" si="46"/>
        <v>2.5177355475180963</v>
      </c>
      <c r="I33" s="93">
        <f t="shared" si="47"/>
        <v>488.87016810008623</v>
      </c>
      <c r="J33" s="94">
        <f t="shared" si="48"/>
        <v>-4888.7016810008627</v>
      </c>
      <c r="L33" s="3"/>
    </row>
    <row r="34" spans="2:22" x14ac:dyDescent="0.3">
      <c r="B34" s="58">
        <f t="shared" si="40"/>
        <v>3.5271614789544554E-2</v>
      </c>
      <c r="C34" s="65">
        <f t="shared" si="41"/>
        <v>6.098147428781199E-2</v>
      </c>
      <c r="D34" s="65">
        <f t="shared" si="42"/>
        <v>-1.8179615994578267E-2</v>
      </c>
      <c r="E34" s="65">
        <f t="shared" si="43"/>
        <v>6.8061211996751622E-2</v>
      </c>
      <c r="F34" s="59">
        <f t="shared" si="44"/>
        <v>-181.79615994578268</v>
      </c>
      <c r="G34" s="60">
        <f t="shared" si="45"/>
        <v>34.030605998375812</v>
      </c>
      <c r="H34" s="92">
        <f t="shared" si="46"/>
        <v>-104.48602522199801</v>
      </c>
      <c r="I34" s="93">
        <f t="shared" si="47"/>
        <v>152.61256976067628</v>
      </c>
      <c r="J34" s="94">
        <f t="shared" si="48"/>
        <v>-1743.3306841954004</v>
      </c>
      <c r="L34" s="3"/>
    </row>
    <row r="35" spans="2:22" x14ac:dyDescent="0.3">
      <c r="B35" s="58" t="str">
        <f>IF(C14="","",$M$23-$M$25*C14)</f>
        <v/>
      </c>
      <c r="C35" s="65" t="str">
        <f t="shared" si="41"/>
        <v/>
      </c>
      <c r="D35" s="65" t="str">
        <f t="shared" si="42"/>
        <v/>
      </c>
      <c r="E35" s="65" t="str">
        <f t="shared" si="43"/>
        <v/>
      </c>
      <c r="F35" s="59" t="str">
        <f t="shared" si="44"/>
        <v/>
      </c>
      <c r="G35" s="60" t="str">
        <f t="shared" si="45"/>
        <v/>
      </c>
      <c r="H35" s="92">
        <f t="shared" si="46"/>
        <v>0</v>
      </c>
      <c r="I35" s="93">
        <f t="shared" si="47"/>
        <v>0</v>
      </c>
      <c r="J35" s="94">
        <f t="shared" si="48"/>
        <v>0</v>
      </c>
    </row>
    <row r="36" spans="2:22" x14ac:dyDescent="0.3">
      <c r="B36" s="58" t="str">
        <f t="shared" si="40"/>
        <v/>
      </c>
      <c r="C36" s="65" t="str">
        <f t="shared" si="41"/>
        <v/>
      </c>
      <c r="D36" s="65" t="str">
        <f t="shared" si="42"/>
        <v/>
      </c>
      <c r="E36" s="65" t="str">
        <f t="shared" si="43"/>
        <v/>
      </c>
      <c r="F36" s="59" t="str">
        <f t="shared" si="44"/>
        <v/>
      </c>
      <c r="G36" s="60" t="str">
        <f t="shared" si="45"/>
        <v/>
      </c>
      <c r="H36" s="92">
        <f t="shared" si="46"/>
        <v>0</v>
      </c>
      <c r="I36" s="93">
        <f t="shared" si="47"/>
        <v>0</v>
      </c>
      <c r="J36" s="94">
        <f t="shared" si="48"/>
        <v>0</v>
      </c>
    </row>
    <row r="37" spans="2:22" ht="14.4" thickBot="1" x14ac:dyDescent="0.35">
      <c r="B37" s="61" t="str">
        <f t="shared" si="40"/>
        <v/>
      </c>
      <c r="C37" s="66" t="str">
        <f t="shared" si="41"/>
        <v/>
      </c>
      <c r="D37" s="66" t="str">
        <f t="shared" si="42"/>
        <v/>
      </c>
      <c r="E37" s="66" t="str">
        <f t="shared" si="43"/>
        <v/>
      </c>
      <c r="F37" s="62" t="str">
        <f t="shared" si="44"/>
        <v/>
      </c>
      <c r="G37" s="63" t="str">
        <f t="shared" si="45"/>
        <v/>
      </c>
      <c r="H37" s="95">
        <f t="shared" si="46"/>
        <v>0</v>
      </c>
      <c r="I37" s="96">
        <f t="shared" si="47"/>
        <v>0</v>
      </c>
      <c r="J37" s="97">
        <f t="shared" si="48"/>
        <v>0</v>
      </c>
    </row>
    <row r="38" spans="2:22" ht="14.4" thickBot="1" x14ac:dyDescent="0.35">
      <c r="D38" s="64"/>
      <c r="E38" s="64"/>
      <c r="F38" s="64"/>
      <c r="G38" s="29" t="s">
        <v>53</v>
      </c>
      <c r="H38" s="98">
        <f>SUM(H30:H37)</f>
        <v>1.9895196601282805E-12</v>
      </c>
      <c r="I38" s="99">
        <f>SUM(I30:I37)</f>
        <v>1599.9999999999993</v>
      </c>
      <c r="J38" s="100">
        <f>SUM(J30:J37)</f>
        <v>9600.0000000000055</v>
      </c>
      <c r="K38" s="3"/>
      <c r="L38" s="3"/>
      <c r="M38" s="3"/>
      <c r="N38" s="3"/>
      <c r="O38" s="64"/>
      <c r="P38" s="64"/>
      <c r="Q38" s="64"/>
      <c r="R38" s="64"/>
      <c r="S38" s="64"/>
      <c r="T38" s="64"/>
      <c r="U38" s="64"/>
      <c r="V38" s="64"/>
    </row>
    <row r="39" spans="2:22" x14ac:dyDescent="0.3">
      <c r="K39" s="3"/>
      <c r="L39" s="3"/>
      <c r="M39" s="3"/>
      <c r="N39" s="3"/>
      <c r="O39" s="64"/>
      <c r="P39" s="64"/>
      <c r="Q39" s="64"/>
      <c r="R39" s="64"/>
      <c r="S39" s="64"/>
      <c r="T39" s="64"/>
      <c r="U39" s="64"/>
      <c r="V39" s="64"/>
    </row>
  </sheetData>
  <mergeCells count="3">
    <mergeCell ref="B19:I19"/>
    <mergeCell ref="B27:J27"/>
    <mergeCell ref="L21:P21"/>
  </mergeCells>
  <dataValidations disablePrompts="1" count="1">
    <dataValidation type="list" allowBlank="1" showInputMessage="1" showErrorMessage="1" sqref="J20" xr:uid="{E39E0280-2C1E-43A7-8584-B32EA10F56B6}">
      <formula1>$B$20:$I$20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TORSIÓN-TSD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Schnetzer</dc:creator>
  <cp:lastModifiedBy>Tomás Schnetzer Drago</cp:lastModifiedBy>
  <dcterms:created xsi:type="dcterms:W3CDTF">2023-06-09T21:32:13Z</dcterms:created>
  <dcterms:modified xsi:type="dcterms:W3CDTF">2024-05-28T17:21:31Z</dcterms:modified>
</cp:coreProperties>
</file>