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prog bal termimco\"/>
    </mc:Choice>
  </mc:AlternateContent>
  <xr:revisionPtr revIDLastSave="0" documentId="13_ncr:1_{46AD89D3-17C1-427A-972F-CB11076D34B1}" xr6:coauthVersionLast="36" xr6:coauthVersionMax="47" xr10:uidLastSave="{00000000-0000-0000-0000-000000000000}"/>
  <bookViews>
    <workbookView xWindow="-120" yWindow="-120" windowWidth="24240" windowHeight="17640" tabRatio="828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79021"/>
</workbook>
</file>

<file path=xl/calcChain.xml><?xml version="1.0" encoding="utf-8"?>
<calcChain xmlns="http://schemas.openxmlformats.org/spreadsheetml/2006/main">
  <c r="E223" i="6" l="1"/>
  <c r="E222" i="6"/>
  <c r="E221" i="6"/>
  <c r="E220" i="6"/>
  <c r="E219" i="6"/>
  <c r="E218" i="6"/>
  <c r="E217" i="6"/>
  <c r="E215" i="6"/>
  <c r="E214" i="6"/>
  <c r="E213" i="6"/>
  <c r="E212" i="6"/>
  <c r="E216" i="6"/>
  <c r="E67" i="2" l="1"/>
  <c r="D15" i="2"/>
  <c r="D14" i="2"/>
  <c r="D13" i="2"/>
  <c r="D12" i="2"/>
  <c r="D11" i="2"/>
  <c r="D10" i="2"/>
  <c r="D9" i="2"/>
  <c r="D8" i="2"/>
  <c r="E98" i="12" l="1"/>
  <c r="G98" i="12" s="1"/>
  <c r="E181" i="6" l="1"/>
  <c r="C181" i="6"/>
  <c r="E182" i="6"/>
  <c r="E180" i="6"/>
  <c r="E179" i="6"/>
  <c r="E178" i="6"/>
  <c r="E177" i="6"/>
  <c r="E176" i="6"/>
  <c r="E175" i="6"/>
  <c r="E174" i="6"/>
  <c r="E173" i="6"/>
  <c r="E172" i="6"/>
  <c r="E171" i="6"/>
  <c r="C182" i="6"/>
  <c r="C180" i="6"/>
  <c r="C179" i="6"/>
  <c r="C178" i="6"/>
  <c r="C177" i="6"/>
  <c r="C176" i="6"/>
  <c r="C175" i="6"/>
  <c r="C174" i="6"/>
  <c r="C173" i="6"/>
  <c r="C172" i="6"/>
  <c r="C17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F181" i="6" l="1"/>
  <c r="I223" i="6" l="1"/>
  <c r="I222" i="6"/>
  <c r="I221" i="6"/>
  <c r="I220" i="6"/>
  <c r="I219" i="6"/>
  <c r="I218" i="6"/>
  <c r="I217" i="6"/>
  <c r="I216" i="6"/>
  <c r="I215" i="6"/>
  <c r="I214" i="6"/>
  <c r="I213" i="6"/>
  <c r="I212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C216" i="6"/>
  <c r="C220" i="6"/>
  <c r="C213" i="6"/>
  <c r="C214" i="6"/>
  <c r="C215" i="6"/>
  <c r="C217" i="6"/>
  <c r="C218" i="6"/>
  <c r="C219" i="6"/>
  <c r="C221" i="6"/>
  <c r="C222" i="6"/>
  <c r="C223" i="6"/>
  <c r="C212" i="6"/>
  <c r="D23" i="2" l="1"/>
  <c r="D22" i="2" s="1"/>
  <c r="D21" i="2"/>
  <c r="D18" i="2"/>
  <c r="C4" i="12" l="1"/>
  <c r="D97" i="12"/>
  <c r="D96" i="12"/>
  <c r="G60" i="12"/>
  <c r="F48" i="12"/>
  <c r="F49" i="12"/>
  <c r="F50" i="12"/>
  <c r="F51" i="12"/>
  <c r="F47" i="12"/>
  <c r="D99" i="12"/>
  <c r="H83" i="12"/>
  <c r="H82" i="12"/>
  <c r="H81" i="12"/>
  <c r="C12" i="12"/>
  <c r="H11" i="12"/>
  <c r="H10" i="12"/>
  <c r="H9" i="12"/>
  <c r="C9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76" i="4" s="1"/>
  <c r="B66" i="4"/>
  <c r="B67" i="4" s="1"/>
  <c r="B60" i="4"/>
  <c r="B62" i="4" s="1"/>
  <c r="B54" i="4"/>
  <c r="B57" i="4" s="1"/>
  <c r="B48" i="4"/>
  <c r="B52" i="4" s="1"/>
  <c r="B42" i="4"/>
  <c r="B43" i="4" s="1"/>
  <c r="B36" i="4"/>
  <c r="B38" i="4" s="1"/>
  <c r="B30" i="4"/>
  <c r="B28" i="4"/>
  <c r="B31" i="4" s="1"/>
  <c r="B22" i="4"/>
  <c r="B25" i="4" s="1"/>
  <c r="B16" i="4"/>
  <c r="B17" i="4" s="1"/>
  <c r="B10" i="4"/>
  <c r="B12" i="4" s="1"/>
  <c r="B24" i="4" l="1"/>
  <c r="B56" i="4"/>
  <c r="B61" i="4"/>
  <c r="B11" i="4"/>
  <c r="B26" i="4"/>
  <c r="B23" i="4"/>
  <c r="B51" i="4"/>
  <c r="B29" i="4"/>
  <c r="B37" i="4"/>
  <c r="B49" i="4"/>
  <c r="B13" i="4"/>
  <c r="B18" i="4"/>
  <c r="B32" i="4"/>
  <c r="B39" i="4"/>
  <c r="B44" i="4"/>
  <c r="B58" i="4"/>
  <c r="B63" i="4"/>
  <c r="B68" i="4"/>
  <c r="B73" i="4"/>
  <c r="B14" i="4"/>
  <c r="B19" i="4"/>
  <c r="B40" i="4"/>
  <c r="B45" i="4"/>
  <c r="B50" i="4"/>
  <c r="B55" i="4"/>
  <c r="B64" i="4"/>
  <c r="B69" i="4"/>
  <c r="B74" i="4"/>
  <c r="B20" i="4"/>
  <c r="B46" i="4"/>
  <c r="B70" i="4"/>
  <c r="B75" i="4"/>
  <c r="M187" i="5" l="1"/>
  <c r="L187" i="5"/>
  <c r="K187" i="5"/>
  <c r="J187" i="5"/>
  <c r="I187" i="5"/>
  <c r="H187" i="5"/>
  <c r="G187" i="5"/>
  <c r="F187" i="5"/>
  <c r="E187" i="5"/>
  <c r="D187" i="5"/>
  <c r="C187" i="5"/>
  <c r="B187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N175" i="5"/>
  <c r="W56" i="5"/>
  <c r="T56" i="5"/>
  <c r="W55" i="5" l="1"/>
  <c r="T55" i="5"/>
  <c r="W54" i="5"/>
  <c r="T54" i="5"/>
  <c r="W53" i="5"/>
  <c r="T53" i="5"/>
  <c r="W52" i="5"/>
  <c r="T52" i="5"/>
  <c r="W51" i="5"/>
  <c r="T51" i="5"/>
  <c r="W50" i="5"/>
  <c r="T50" i="5"/>
  <c r="W49" i="5"/>
  <c r="T4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97" i="5"/>
  <c r="L97" i="5"/>
  <c r="K97" i="5"/>
  <c r="J97" i="5"/>
  <c r="I97" i="5"/>
  <c r="H97" i="5"/>
  <c r="G97" i="5"/>
  <c r="F97" i="5"/>
  <c r="E97" i="5"/>
  <c r="D97" i="5"/>
  <c r="C97" i="5"/>
  <c r="B97" i="5"/>
  <c r="M96" i="5"/>
  <c r="L96" i="5"/>
  <c r="K96" i="5"/>
  <c r="J96" i="5"/>
  <c r="I96" i="5"/>
  <c r="H96" i="5"/>
  <c r="G96" i="5"/>
  <c r="F96" i="5"/>
  <c r="E96" i="5"/>
  <c r="D96" i="5"/>
  <c r="C96" i="5"/>
  <c r="B96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79" i="5"/>
  <c r="L79" i="5"/>
  <c r="K79" i="5"/>
  <c r="J79" i="5"/>
  <c r="I79" i="5"/>
  <c r="H79" i="5"/>
  <c r="G79" i="5"/>
  <c r="F79" i="5"/>
  <c r="E79" i="5"/>
  <c r="D79" i="5"/>
  <c r="C79" i="5"/>
  <c r="B79" i="5"/>
  <c r="M78" i="5"/>
  <c r="L78" i="5"/>
  <c r="K78" i="5"/>
  <c r="J78" i="5"/>
  <c r="I78" i="5"/>
  <c r="H78" i="5"/>
  <c r="G78" i="5"/>
  <c r="F78" i="5"/>
  <c r="E78" i="5"/>
  <c r="D78" i="5"/>
  <c r="C78" i="5"/>
  <c r="B78" i="5"/>
  <c r="M77" i="5"/>
  <c r="L77" i="5"/>
  <c r="K77" i="5"/>
  <c r="J77" i="5"/>
  <c r="I77" i="5"/>
  <c r="H77" i="5"/>
  <c r="G77" i="5"/>
  <c r="F77" i="5"/>
  <c r="E77" i="5"/>
  <c r="D77" i="5"/>
  <c r="C77" i="5"/>
  <c r="B77" i="5"/>
  <c r="M76" i="5"/>
  <c r="L76" i="5"/>
  <c r="K76" i="5"/>
  <c r="J76" i="5"/>
  <c r="I76" i="5"/>
  <c r="H76" i="5"/>
  <c r="G76" i="5"/>
  <c r="F76" i="5"/>
  <c r="E76" i="5"/>
  <c r="D76" i="5"/>
  <c r="C76" i="5"/>
  <c r="B76" i="5"/>
  <c r="M61" i="5"/>
  <c r="L61" i="5"/>
  <c r="K61" i="5"/>
  <c r="J61" i="5"/>
  <c r="I61" i="5"/>
  <c r="H61" i="5"/>
  <c r="G61" i="5"/>
  <c r="F61" i="5"/>
  <c r="E61" i="5"/>
  <c r="D61" i="5"/>
  <c r="C61" i="5"/>
  <c r="B61" i="5"/>
  <c r="M60" i="5"/>
  <c r="L60" i="5"/>
  <c r="K60" i="5"/>
  <c r="J60" i="5"/>
  <c r="I60" i="5"/>
  <c r="H60" i="5"/>
  <c r="G60" i="5"/>
  <c r="F60" i="5"/>
  <c r="E60" i="5"/>
  <c r="D60" i="5"/>
  <c r="C60" i="5"/>
  <c r="B60" i="5"/>
  <c r="M59" i="5"/>
  <c r="L59" i="5"/>
  <c r="K59" i="5"/>
  <c r="J59" i="5"/>
  <c r="I59" i="5"/>
  <c r="H59" i="5"/>
  <c r="G59" i="5"/>
  <c r="F59" i="5"/>
  <c r="E59" i="5"/>
  <c r="D59" i="5"/>
  <c r="C59" i="5"/>
  <c r="B59" i="5"/>
  <c r="M58" i="5"/>
  <c r="L58" i="5"/>
  <c r="K58" i="5"/>
  <c r="J58" i="5"/>
  <c r="I58" i="5"/>
  <c r="H58" i="5"/>
  <c r="G58" i="5"/>
  <c r="F58" i="5"/>
  <c r="E58" i="5"/>
  <c r="D58" i="5"/>
  <c r="C58" i="5"/>
  <c r="B58" i="5"/>
  <c r="E60" i="8" l="1"/>
  <c r="E62" i="8" s="1"/>
  <c r="E38" i="8"/>
  <c r="E34" i="11"/>
  <c r="E49" i="11"/>
  <c r="E67" i="11"/>
  <c r="E69" i="11" s="1"/>
  <c r="E68" i="11"/>
  <c r="I22" i="7"/>
  <c r="E61" i="8" l="1"/>
  <c r="G12" i="2"/>
  <c r="F10" i="2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/>
  <c r="M10" i="3" l="1"/>
  <c r="M36" i="3" s="1"/>
  <c r="G40" i="12" s="1"/>
  <c r="G10" i="2"/>
  <c r="I21" i="7" l="1"/>
  <c r="E97" i="12" s="1"/>
  <c r="G97" i="12" s="1"/>
  <c r="C62" i="6"/>
  <c r="C89" i="6" s="1"/>
  <c r="C107" i="6" s="1"/>
  <c r="J256" i="6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F89" i="6" s="1"/>
  <c r="F107" i="6" s="1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C17" i="3"/>
  <c r="F17" i="3" s="1"/>
  <c r="F16" i="3"/>
  <c r="C16" i="3"/>
  <c r="C14" i="3"/>
  <c r="F14" i="3" s="1"/>
  <c r="C13" i="3"/>
  <c r="F13" i="3" s="1"/>
  <c r="C12" i="3"/>
  <c r="F12" i="3" s="1"/>
  <c r="J267" i="6"/>
  <c r="J266" i="6"/>
  <c r="J265" i="6"/>
  <c r="J264" i="6"/>
  <c r="J263" i="6"/>
  <c r="J262" i="6"/>
  <c r="J261" i="6"/>
  <c r="J260" i="6"/>
  <c r="J258" i="6"/>
  <c r="D115" i="6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C28" i="4"/>
  <c r="C26" i="4"/>
  <c r="J21" i="4"/>
  <c r="J20" i="4"/>
  <c r="J19" i="4"/>
  <c r="C19" i="4"/>
  <c r="J18" i="4"/>
  <c r="J17" i="4"/>
  <c r="C14" i="4"/>
  <c r="J16" i="4"/>
  <c r="J15" i="4"/>
  <c r="C11" i="4"/>
  <c r="C13" i="4"/>
  <c r="X19" i="3"/>
  <c r="AA19" i="3" s="1"/>
  <c r="X18" i="3"/>
  <c r="AA18" i="3" s="1"/>
  <c r="H23" i="2"/>
  <c r="E50" i="2" s="1"/>
  <c r="H22" i="2"/>
  <c r="H18" i="2"/>
  <c r="F15" i="2"/>
  <c r="H15" i="2" s="1"/>
  <c r="F14" i="2"/>
  <c r="F13" i="2"/>
  <c r="F11" i="2"/>
  <c r="F9" i="2"/>
  <c r="H9" i="2" s="1"/>
  <c r="F8" i="2"/>
  <c r="A66" i="1"/>
  <c r="A67" i="1" s="1"/>
  <c r="A68" i="1" s="1"/>
  <c r="J219" i="6" l="1"/>
  <c r="L263" i="6" s="1"/>
  <c r="E22" i="8"/>
  <c r="E24" i="8" s="1"/>
  <c r="E33" i="11"/>
  <c r="E35" i="11" s="1"/>
  <c r="D113" i="6"/>
  <c r="J215" i="6"/>
  <c r="L259" i="6" s="1"/>
  <c r="J223" i="6"/>
  <c r="L267" i="6" s="1"/>
  <c r="J259" i="6"/>
  <c r="D162" i="6"/>
  <c r="F22" i="6"/>
  <c r="D28" i="6"/>
  <c r="B20" i="6"/>
  <c r="J217" i="6"/>
  <c r="L261" i="6" s="1"/>
  <c r="J213" i="6"/>
  <c r="L257" i="6" s="1"/>
  <c r="J221" i="6"/>
  <c r="L265" i="6" s="1"/>
  <c r="J220" i="6"/>
  <c r="L264" i="6" s="1"/>
  <c r="F174" i="6"/>
  <c r="K259" i="6" s="1"/>
  <c r="F176" i="6"/>
  <c r="K261" i="6" s="1"/>
  <c r="F178" i="6"/>
  <c r="K263" i="6" s="1"/>
  <c r="J212" i="6"/>
  <c r="J257" i="6"/>
  <c r="F175" i="6"/>
  <c r="K260" i="6" s="1"/>
  <c r="F179" i="6"/>
  <c r="K264" i="6" s="1"/>
  <c r="F29" i="6"/>
  <c r="F180" i="6"/>
  <c r="K265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61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G10" i="12" s="1"/>
  <c r="D41" i="2"/>
  <c r="D47" i="2"/>
  <c r="F173" i="6"/>
  <c r="K258" i="6" s="1"/>
  <c r="H25" i="6"/>
  <c r="K52" i="6"/>
  <c r="E266" i="6" s="1"/>
  <c r="F182" i="6"/>
  <c r="L256" i="6"/>
  <c r="J214" i="6"/>
  <c r="L258" i="6" s="1"/>
  <c r="J216" i="6"/>
  <c r="L260" i="6" s="1"/>
  <c r="J218" i="6"/>
  <c r="L262" i="6" s="1"/>
  <c r="J222" i="6"/>
  <c r="L266" i="6" s="1"/>
  <c r="H21" i="6"/>
  <c r="B43" i="6"/>
  <c r="J107" i="6"/>
  <c r="G267" i="6" s="1"/>
  <c r="F172" i="6"/>
  <c r="K257" i="6" s="1"/>
  <c r="B42" i="6"/>
  <c r="F43" i="6"/>
  <c r="F45" i="6"/>
  <c r="H48" i="6"/>
  <c r="H53" i="6"/>
  <c r="H49" i="6"/>
  <c r="D52" i="6"/>
  <c r="K45" i="6"/>
  <c r="E259" i="6" s="1"/>
  <c r="K49" i="6"/>
  <c r="E263" i="6" s="1"/>
  <c r="K53" i="6"/>
  <c r="E267" i="6" s="1"/>
  <c r="K21" i="6"/>
  <c r="D259" i="6" s="1"/>
  <c r="K26" i="6"/>
  <c r="D264" i="6" s="1"/>
  <c r="K29" i="6"/>
  <c r="D267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1" i="6"/>
  <c r="K256" i="6" s="1"/>
  <c r="F177" i="6"/>
  <c r="K262" i="6" s="1"/>
  <c r="B46" i="6"/>
  <c r="B47" i="6"/>
  <c r="K46" i="6"/>
  <c r="E260" i="6" s="1"/>
  <c r="K50" i="6"/>
  <c r="E264" i="6" s="1"/>
  <c r="K18" i="6"/>
  <c r="D256" i="6" s="1"/>
  <c r="K22" i="6"/>
  <c r="D260" i="6" s="1"/>
  <c r="K27" i="6"/>
  <c r="D265" i="6" s="1"/>
  <c r="K42" i="6"/>
  <c r="E256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57" i="6" s="1"/>
  <c r="K47" i="6"/>
  <c r="E261" i="6" s="1"/>
  <c r="K51" i="6"/>
  <c r="E265" i="6" s="1"/>
  <c r="K19" i="6"/>
  <c r="D257" i="6" s="1"/>
  <c r="K24" i="6"/>
  <c r="D262" i="6" s="1"/>
  <c r="K28" i="6"/>
  <c r="D266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58" i="6" s="1"/>
  <c r="K48" i="6"/>
  <c r="E262" i="6" s="1"/>
  <c r="K20" i="6"/>
  <c r="D258" i="6" s="1"/>
  <c r="K25" i="6"/>
  <c r="D263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C52" i="4"/>
  <c r="C50" i="4"/>
  <c r="C49" i="4"/>
  <c r="C45" i="4"/>
  <c r="C12" i="4"/>
  <c r="C18" i="4"/>
  <c r="C10" i="4"/>
  <c r="C17" i="4"/>
  <c r="C22" i="4"/>
  <c r="C24" i="4"/>
  <c r="C44" i="4"/>
  <c r="C46" i="4"/>
  <c r="C20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K266" i="6" l="1"/>
  <c r="AC266" i="6" s="1"/>
  <c r="F183" i="6"/>
  <c r="AC263" i="6"/>
  <c r="AC261" i="6"/>
  <c r="AC265" i="6"/>
  <c r="AC259" i="6"/>
  <c r="AC260" i="6"/>
  <c r="AC262" i="6"/>
  <c r="AC256" i="6"/>
  <c r="AC258" i="6"/>
  <c r="AC264" i="6"/>
  <c r="AC257" i="6"/>
  <c r="F48" i="2"/>
  <c r="C15" i="3"/>
  <c r="F15" i="3" s="1"/>
  <c r="J225" i="6"/>
  <c r="J269" i="6"/>
  <c r="G281" i="6" s="1"/>
  <c r="K267" i="6"/>
  <c r="A70" i="1"/>
  <c r="L269" i="6"/>
  <c r="I281" i="6" s="1"/>
  <c r="J106" i="6"/>
  <c r="G266" i="6" s="1"/>
  <c r="J102" i="6"/>
  <c r="G262" i="6" s="1"/>
  <c r="J98" i="6"/>
  <c r="G258" i="6" s="1"/>
  <c r="J104" i="6"/>
  <c r="G264" i="6" s="1"/>
  <c r="J100" i="6"/>
  <c r="G260" i="6" s="1"/>
  <c r="J105" i="6"/>
  <c r="G265" i="6" s="1"/>
  <c r="J103" i="6"/>
  <c r="G263" i="6" s="1"/>
  <c r="J101" i="6"/>
  <c r="G261" i="6" s="1"/>
  <c r="J99" i="6"/>
  <c r="G259" i="6" s="1"/>
  <c r="J97" i="6"/>
  <c r="G257" i="6" s="1"/>
  <c r="E269" i="6"/>
  <c r="J96" i="6"/>
  <c r="D269" i="6"/>
  <c r="C281" i="6" s="1"/>
  <c r="C31" i="4"/>
  <c r="C29" i="4"/>
  <c r="C32" i="4"/>
  <c r="C30" i="4"/>
  <c r="C25" i="4"/>
  <c r="C55" i="4"/>
  <c r="C51" i="4"/>
  <c r="C58" i="4"/>
  <c r="C56" i="4"/>
  <c r="H45" i="2"/>
  <c r="H43" i="2"/>
  <c r="K269" i="6" l="1"/>
  <c r="H281" i="6" s="1"/>
  <c r="AC267" i="6"/>
  <c r="AC269" i="6" s="1"/>
  <c r="A71" i="1"/>
  <c r="G256" i="6"/>
  <c r="G269" i="6" s="1"/>
  <c r="E281" i="6" s="1"/>
  <c r="J109" i="6"/>
  <c r="C64" i="4"/>
  <c r="C62" i="4"/>
  <c r="C61" i="4"/>
  <c r="C57" i="4"/>
  <c r="M1" i="5" l="1"/>
  <c r="A72" i="1"/>
  <c r="B2" i="6" s="1"/>
  <c r="U4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B4" i="3"/>
  <c r="D6" i="12" s="1"/>
  <c r="E4" i="3"/>
  <c r="H4" i="3" s="1"/>
  <c r="AB28" i="3" s="1"/>
  <c r="C67" i="4"/>
  <c r="C63" i="4"/>
  <c r="C70" i="4"/>
  <c r="C68" i="4"/>
  <c r="M16" i="5" l="1"/>
  <c r="Q9" i="5"/>
  <c r="N4" i="5"/>
  <c r="T16" i="5"/>
  <c r="L16" i="5"/>
  <c r="P15" i="5"/>
  <c r="T14" i="5"/>
  <c r="L14" i="5"/>
  <c r="P13" i="5"/>
  <c r="T10" i="5"/>
  <c r="L10" i="5"/>
  <c r="P9" i="5"/>
  <c r="T8" i="5"/>
  <c r="L8" i="5"/>
  <c r="P7" i="5"/>
  <c r="U4" i="5"/>
  <c r="M4" i="5"/>
  <c r="S16" i="5"/>
  <c r="K16" i="5"/>
  <c r="O15" i="5"/>
  <c r="S14" i="5"/>
  <c r="K14" i="5"/>
  <c r="O13" i="5"/>
  <c r="S10" i="5"/>
  <c r="K10" i="5"/>
  <c r="O9" i="5"/>
  <c r="S8" i="5"/>
  <c r="K8" i="5"/>
  <c r="O7" i="5"/>
  <c r="T4" i="5"/>
  <c r="L4" i="5"/>
  <c r="R16" i="5"/>
  <c r="J16" i="5"/>
  <c r="N15" i="5"/>
  <c r="R14" i="5"/>
  <c r="J14" i="5"/>
  <c r="N13" i="5"/>
  <c r="R10" i="5"/>
  <c r="J10" i="5"/>
  <c r="N9" i="5"/>
  <c r="R8" i="5"/>
  <c r="J8" i="5"/>
  <c r="N7" i="5"/>
  <c r="S4" i="5"/>
  <c r="J4" i="5"/>
  <c r="U15" i="5"/>
  <c r="U9" i="5"/>
  <c r="M9" i="5"/>
  <c r="M7" i="5"/>
  <c r="M13" i="5"/>
  <c r="Q8" i="5"/>
  <c r="R4" i="5"/>
  <c r="Q16" i="5"/>
  <c r="M15" i="5"/>
  <c r="Q14" i="5"/>
  <c r="U13" i="5"/>
  <c r="Q10" i="5"/>
  <c r="U7" i="5"/>
  <c r="K4" i="5"/>
  <c r="P16" i="5"/>
  <c r="T15" i="5"/>
  <c r="L15" i="5"/>
  <c r="P14" i="5"/>
  <c r="T13" i="5"/>
  <c r="L13" i="5"/>
  <c r="P10" i="5"/>
  <c r="T9" i="5"/>
  <c r="L9" i="5"/>
  <c r="P8" i="5"/>
  <c r="T7" i="5"/>
  <c r="L7" i="5"/>
  <c r="Q4" i="5"/>
  <c r="O16" i="5"/>
  <c r="S15" i="5"/>
  <c r="K15" i="5"/>
  <c r="O14" i="5"/>
  <c r="S13" i="5"/>
  <c r="K13" i="5"/>
  <c r="O10" i="5"/>
  <c r="S9" i="5"/>
  <c r="K9" i="5"/>
  <c r="O8" i="5"/>
  <c r="S7" i="5"/>
  <c r="K7" i="5"/>
  <c r="P4" i="5"/>
  <c r="N16" i="5"/>
  <c r="R15" i="5"/>
  <c r="J15" i="5"/>
  <c r="N14" i="5"/>
  <c r="R13" i="5"/>
  <c r="J13" i="5"/>
  <c r="N10" i="5"/>
  <c r="R9" i="5"/>
  <c r="J9" i="5"/>
  <c r="N8" i="5"/>
  <c r="R7" i="5"/>
  <c r="J7" i="5"/>
  <c r="O4" i="5"/>
  <c r="U16" i="5"/>
  <c r="Q15" i="5"/>
  <c r="U14" i="5"/>
  <c r="M14" i="5"/>
  <c r="Q13" i="5"/>
  <c r="U10" i="5"/>
  <c r="M10" i="5"/>
  <c r="U8" i="5"/>
  <c r="M8" i="5"/>
  <c r="Q7" i="5"/>
  <c r="V4" i="5"/>
  <c r="S4" i="6"/>
  <c r="D91" i="11"/>
  <c r="D95" i="11" s="1"/>
  <c r="D103" i="11" s="1"/>
  <c r="D92" i="11"/>
  <c r="D96" i="11" s="1"/>
  <c r="D104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V8" i="6" l="1"/>
  <c r="H42" i="8"/>
  <c r="E54" i="8"/>
  <c r="E65" i="8" s="1"/>
  <c r="D84" i="8" s="1"/>
  <c r="D88" i="8" s="1"/>
  <c r="D96" i="8" s="1"/>
  <c r="S8" i="6"/>
  <c r="AA12" i="6"/>
  <c r="AA21" i="6"/>
  <c r="U8" i="6"/>
  <c r="AA23" i="6"/>
  <c r="AA14" i="6"/>
  <c r="W8" i="6"/>
  <c r="P8" i="6"/>
  <c r="AA18" i="6"/>
  <c r="Y8" i="6"/>
  <c r="Z8" i="6"/>
  <c r="AA16" i="6"/>
  <c r="AA13" i="6"/>
  <c r="T8" i="6"/>
  <c r="AA22" i="6"/>
  <c r="AA15" i="6"/>
  <c r="R8" i="6"/>
  <c r="AA20" i="6"/>
  <c r="O8" i="6"/>
  <c r="AA17" i="6"/>
  <c r="X8" i="6"/>
  <c r="Q8" i="6"/>
  <c r="AA19" i="6"/>
  <c r="E66" i="8"/>
  <c r="D85" i="8" s="1"/>
  <c r="D89" i="8" s="1"/>
  <c r="D97" i="8" s="1"/>
  <c r="H41" i="8"/>
  <c r="H43" i="8"/>
  <c r="H40" i="8"/>
  <c r="H52" i="11"/>
  <c r="H51" i="11"/>
  <c r="H54" i="11"/>
  <c r="H53" i="11"/>
  <c r="C122" i="11"/>
  <c r="C92" i="12" s="1"/>
  <c r="D122" i="11"/>
  <c r="D92" i="12" s="1"/>
  <c r="C121" i="11"/>
  <c r="C91" i="12" s="1"/>
  <c r="D121" i="11"/>
  <c r="D91" i="12" s="1"/>
  <c r="C122" i="6" l="1"/>
  <c r="I261" i="6"/>
  <c r="H13" i="11"/>
  <c r="E121" i="11"/>
  <c r="F121" i="11"/>
  <c r="E122" i="11"/>
  <c r="F122" i="11"/>
  <c r="D114" i="8"/>
  <c r="D106" i="12" s="1"/>
  <c r="C114" i="8"/>
  <c r="C106" i="12" s="1"/>
  <c r="D115" i="8"/>
  <c r="D107" i="12" s="1"/>
  <c r="C115" i="8"/>
  <c r="C107" i="12" s="1"/>
  <c r="G15" i="11"/>
  <c r="I263" i="6" s="1"/>
  <c r="F76" i="6"/>
  <c r="H76" i="6"/>
  <c r="B76" i="6"/>
  <c r="C129" i="6"/>
  <c r="H263" i="6" s="1"/>
  <c r="I76" i="6"/>
  <c r="G76" i="6"/>
  <c r="C76" i="6"/>
  <c r="E76" i="6"/>
  <c r="G33" i="7"/>
  <c r="D76" i="6"/>
  <c r="G74" i="6"/>
  <c r="AE261" i="6"/>
  <c r="I74" i="6"/>
  <c r="C127" i="6"/>
  <c r="H261" i="6" s="1"/>
  <c r="G31" i="7"/>
  <c r="D74" i="6"/>
  <c r="B74" i="6"/>
  <c r="H74" i="6"/>
  <c r="F74" i="6"/>
  <c r="C74" i="6"/>
  <c r="E74" i="6"/>
  <c r="G16" i="11"/>
  <c r="I264" i="6" s="1"/>
  <c r="G34" i="7"/>
  <c r="C130" i="6"/>
  <c r="H264" i="6" s="1"/>
  <c r="D77" i="6"/>
  <c r="B77" i="6"/>
  <c r="C77" i="6"/>
  <c r="E77" i="6"/>
  <c r="G77" i="6"/>
  <c r="I77" i="6"/>
  <c r="H77" i="6"/>
  <c r="F77" i="6"/>
  <c r="G11" i="11"/>
  <c r="I259" i="6" s="1"/>
  <c r="C125" i="6"/>
  <c r="H259" i="6" s="1"/>
  <c r="I72" i="6"/>
  <c r="G72" i="6"/>
  <c r="G29" i="7"/>
  <c r="D72" i="6"/>
  <c r="B72" i="6"/>
  <c r="H72" i="6"/>
  <c r="F72" i="6"/>
  <c r="C72" i="6"/>
  <c r="E72" i="6"/>
  <c r="G18" i="11"/>
  <c r="I266" i="6" s="1"/>
  <c r="E79" i="6"/>
  <c r="C79" i="6"/>
  <c r="I79" i="6"/>
  <c r="C132" i="6"/>
  <c r="H266" i="6" s="1"/>
  <c r="D79" i="6"/>
  <c r="B79" i="6"/>
  <c r="G36" i="7"/>
  <c r="H79" i="6"/>
  <c r="F79" i="6"/>
  <c r="G79" i="6"/>
  <c r="G9" i="11"/>
  <c r="I257" i="6" s="1"/>
  <c r="C70" i="6"/>
  <c r="C123" i="6"/>
  <c r="H257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60" i="6" s="1"/>
  <c r="I73" i="6"/>
  <c r="G30" i="7"/>
  <c r="D73" i="6"/>
  <c r="H73" i="6"/>
  <c r="F73" i="6"/>
  <c r="B73" i="6"/>
  <c r="C73" i="6"/>
  <c r="E73" i="6"/>
  <c r="G14" i="11"/>
  <c r="I262" i="6" s="1"/>
  <c r="G32" i="7"/>
  <c r="F75" i="6"/>
  <c r="H75" i="6"/>
  <c r="I75" i="6"/>
  <c r="C128" i="6"/>
  <c r="H262" i="6" s="1"/>
  <c r="C75" i="6"/>
  <c r="E75" i="6"/>
  <c r="D75" i="6"/>
  <c r="B75" i="6"/>
  <c r="G75" i="6"/>
  <c r="G10" i="11"/>
  <c r="I258" i="6" s="1"/>
  <c r="E71" i="6"/>
  <c r="C124" i="6"/>
  <c r="H258" i="6" s="1"/>
  <c r="C71" i="6"/>
  <c r="G28" i="7"/>
  <c r="D71" i="6"/>
  <c r="B71" i="6"/>
  <c r="H71" i="6"/>
  <c r="F71" i="6"/>
  <c r="G71" i="6"/>
  <c r="I71" i="6"/>
  <c r="F80" i="6"/>
  <c r="G19" i="11"/>
  <c r="I267" i="6" s="1"/>
  <c r="G37" i="7"/>
  <c r="C133" i="6"/>
  <c r="H267" i="6" s="1"/>
  <c r="H80" i="6"/>
  <c r="C80" i="6"/>
  <c r="E80" i="6"/>
  <c r="D80" i="6"/>
  <c r="B80" i="6"/>
  <c r="G80" i="6"/>
  <c r="I80" i="6"/>
  <c r="G17" i="11"/>
  <c r="I265" i="6" s="1"/>
  <c r="F78" i="6"/>
  <c r="H78" i="6"/>
  <c r="G78" i="6"/>
  <c r="C131" i="6"/>
  <c r="H265" i="6" s="1"/>
  <c r="I78" i="6"/>
  <c r="G35" i="7"/>
  <c r="C78" i="6"/>
  <c r="E78" i="6"/>
  <c r="D78" i="6"/>
  <c r="B78" i="6"/>
  <c r="G8" i="11"/>
  <c r="I256" i="6" s="1"/>
  <c r="B69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H15" i="11" l="1"/>
  <c r="H11" i="11"/>
  <c r="H9" i="11"/>
  <c r="H8" i="11"/>
  <c r="H10" i="11"/>
  <c r="H18" i="11"/>
  <c r="H17" i="11"/>
  <c r="H16" i="11"/>
  <c r="H19" i="11"/>
  <c r="H14" i="11"/>
  <c r="I260" i="6"/>
  <c r="AE260" i="6" s="1"/>
  <c r="H122" i="11"/>
  <c r="H92" i="12" s="1"/>
  <c r="F92" i="12"/>
  <c r="H121" i="11"/>
  <c r="H91" i="12" s="1"/>
  <c r="F91" i="12"/>
  <c r="G122" i="11"/>
  <c r="G92" i="12" s="1"/>
  <c r="E92" i="12"/>
  <c r="G121" i="11"/>
  <c r="G91" i="12" s="1"/>
  <c r="E91" i="12"/>
  <c r="AE265" i="6"/>
  <c r="AE267" i="6"/>
  <c r="AE258" i="6"/>
  <c r="AE262" i="6"/>
  <c r="AE257" i="6"/>
  <c r="AE266" i="6"/>
  <c r="AE259" i="6"/>
  <c r="AE264" i="6"/>
  <c r="AE263" i="6"/>
  <c r="J78" i="6"/>
  <c r="F265" i="6" s="1"/>
  <c r="J70" i="6"/>
  <c r="F257" i="6" s="1"/>
  <c r="H256" i="6"/>
  <c r="C135" i="6"/>
  <c r="J69" i="6"/>
  <c r="F256" i="6" s="1"/>
  <c r="AE256" i="6"/>
  <c r="J80" i="6"/>
  <c r="F267" i="6" s="1"/>
  <c r="J71" i="6"/>
  <c r="F258" i="6" s="1"/>
  <c r="J75" i="6"/>
  <c r="F262" i="6" s="1"/>
  <c r="J73" i="6"/>
  <c r="F260" i="6" s="1"/>
  <c r="J79" i="6"/>
  <c r="F266" i="6" s="1"/>
  <c r="J72" i="6"/>
  <c r="F259" i="6" s="1"/>
  <c r="J77" i="6"/>
  <c r="F264" i="6" s="1"/>
  <c r="J74" i="6"/>
  <c r="F261" i="6" s="1"/>
  <c r="J76" i="6"/>
  <c r="F263" i="6" s="1"/>
  <c r="F115" i="8"/>
  <c r="E115" i="8"/>
  <c r="F114" i="8"/>
  <c r="E114" i="8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H21" i="11" l="1"/>
  <c r="H115" i="8"/>
  <c r="H107" i="12" s="1"/>
  <c r="F107" i="12"/>
  <c r="G114" i="8"/>
  <c r="G106" i="12" s="1"/>
  <c r="E106" i="12"/>
  <c r="H114" i="8"/>
  <c r="H106" i="12" s="1"/>
  <c r="F106" i="12"/>
  <c r="G115" i="8"/>
  <c r="G107" i="12" s="1"/>
  <c r="E107" i="12"/>
  <c r="H269" i="6"/>
  <c r="F281" i="6" s="1"/>
  <c r="AE269" i="6"/>
  <c r="I269" i="6"/>
  <c r="F269" i="6"/>
  <c r="D281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56" i="6" s="1"/>
  <c r="D16" i="2"/>
  <c r="C11" i="3" l="1"/>
  <c r="F11" i="3" s="1"/>
  <c r="D48" i="2"/>
  <c r="C10" i="3"/>
  <c r="F10" i="3" s="1"/>
  <c r="D40" i="2"/>
  <c r="H8" i="2"/>
  <c r="E11" i="6"/>
  <c r="E47" i="6"/>
  <c r="J47" i="6" s="1"/>
  <c r="C261" i="6" s="1"/>
  <c r="E53" i="6"/>
  <c r="J53" i="6" s="1"/>
  <c r="C267" i="6" s="1"/>
  <c r="E52" i="6"/>
  <c r="J52" i="6" s="1"/>
  <c r="C266" i="6" s="1"/>
  <c r="E44" i="6"/>
  <c r="J44" i="6" s="1"/>
  <c r="C258" i="6" s="1"/>
  <c r="E43" i="6"/>
  <c r="J43" i="6" s="1"/>
  <c r="C257" i="6" s="1"/>
  <c r="E45" i="6"/>
  <c r="J45" i="6" s="1"/>
  <c r="C259" i="6" s="1"/>
  <c r="E50" i="6"/>
  <c r="J50" i="6" s="1"/>
  <c r="C264" i="6" s="1"/>
  <c r="E48" i="6"/>
  <c r="J48" i="6" s="1"/>
  <c r="C262" i="6" s="1"/>
  <c r="E51" i="6"/>
  <c r="J51" i="6" s="1"/>
  <c r="C265" i="6" s="1"/>
  <c r="E49" i="6"/>
  <c r="J49" i="6" s="1"/>
  <c r="C263" i="6" s="1"/>
  <c r="E46" i="6"/>
  <c r="J46" i="6" s="1"/>
  <c r="C260" i="6" s="1"/>
  <c r="F21" i="3" l="1"/>
  <c r="C32" i="12" s="1"/>
  <c r="C269" i="6"/>
  <c r="H16" i="2"/>
  <c r="H19" i="2" s="1"/>
  <c r="H40" i="2"/>
  <c r="E29" i="6"/>
  <c r="J29" i="6" s="1"/>
  <c r="B267" i="6" s="1"/>
  <c r="AB267" i="6" s="1"/>
  <c r="AD267" i="6" s="1"/>
  <c r="E21" i="6"/>
  <c r="J21" i="6" s="1"/>
  <c r="B259" i="6" s="1"/>
  <c r="AB259" i="6" s="1"/>
  <c r="AD259" i="6" s="1"/>
  <c r="E27" i="6"/>
  <c r="J27" i="6" s="1"/>
  <c r="B265" i="6" s="1"/>
  <c r="AB265" i="6" s="1"/>
  <c r="AD265" i="6" s="1"/>
  <c r="E19" i="6"/>
  <c r="J19" i="6" s="1"/>
  <c r="B257" i="6" s="1"/>
  <c r="AB257" i="6" s="1"/>
  <c r="AD257" i="6" s="1"/>
  <c r="E26" i="6"/>
  <c r="J26" i="6" s="1"/>
  <c r="B264" i="6" s="1"/>
  <c r="AB264" i="6" s="1"/>
  <c r="AD264" i="6" s="1"/>
  <c r="E24" i="6"/>
  <c r="J24" i="6" s="1"/>
  <c r="B262" i="6" s="1"/>
  <c r="AB262" i="6" s="1"/>
  <c r="AD262" i="6" s="1"/>
  <c r="E25" i="6"/>
  <c r="J25" i="6" s="1"/>
  <c r="B263" i="6" s="1"/>
  <c r="AB263" i="6" s="1"/>
  <c r="AD263" i="6" s="1"/>
  <c r="E20" i="6"/>
  <c r="J20" i="6" s="1"/>
  <c r="B258" i="6" s="1"/>
  <c r="AB258" i="6" s="1"/>
  <c r="AD258" i="6" s="1"/>
  <c r="E23" i="6"/>
  <c r="J23" i="6" s="1"/>
  <c r="B261" i="6" s="1"/>
  <c r="AB261" i="6" s="1"/>
  <c r="AD261" i="6" s="1"/>
  <c r="E28" i="6"/>
  <c r="J28" i="6" s="1"/>
  <c r="B266" i="6" s="1"/>
  <c r="AB266" i="6" s="1"/>
  <c r="AD266" i="6" s="1"/>
  <c r="E22" i="6"/>
  <c r="J22" i="6" s="1"/>
  <c r="B260" i="6" s="1"/>
  <c r="AB260" i="6" s="1"/>
  <c r="AD260" i="6" s="1"/>
  <c r="E18" i="6"/>
  <c r="J18" i="6" s="1"/>
  <c r="B256" i="6" s="1"/>
  <c r="AB256" i="6" s="1"/>
  <c r="J8" i="2" l="1"/>
  <c r="G21" i="7"/>
  <c r="E96" i="12" s="1"/>
  <c r="G96" i="12" s="1"/>
  <c r="AB269" i="6"/>
  <c r="AD256" i="6"/>
  <c r="AD269" i="6" s="1"/>
  <c r="G59" i="12" s="1"/>
  <c r="G16" i="3"/>
  <c r="C27" i="12" s="1"/>
  <c r="G12" i="3"/>
  <c r="C23" i="12" s="1"/>
  <c r="G15" i="3"/>
  <c r="C26" i="12" s="1"/>
  <c r="G14" i="3"/>
  <c r="C25" i="12" s="1"/>
  <c r="G13" i="3"/>
  <c r="C24" i="12" s="1"/>
  <c r="G11" i="3"/>
  <c r="C22" i="12" s="1"/>
  <c r="G10" i="3"/>
  <c r="C21" i="12" s="1"/>
  <c r="AF261" i="6"/>
  <c r="H31" i="7" s="1"/>
  <c r="AF264" i="6"/>
  <c r="H34" i="7" s="1"/>
  <c r="AF267" i="6"/>
  <c r="H37" i="7" s="1"/>
  <c r="AF256" i="6"/>
  <c r="B269" i="6"/>
  <c r="AF258" i="6"/>
  <c r="H28" i="7" s="1"/>
  <c r="AF257" i="6"/>
  <c r="H27" i="7" s="1"/>
  <c r="AF260" i="6"/>
  <c r="H30" i="7" s="1"/>
  <c r="AF263" i="6"/>
  <c r="H33" i="7" s="1"/>
  <c r="AF265" i="6"/>
  <c r="H35" i="7" s="1"/>
  <c r="H48" i="2"/>
  <c r="G21" i="3"/>
  <c r="G17" i="3"/>
  <c r="C28" i="12" s="1"/>
  <c r="AA17" i="3"/>
  <c r="AA20" i="3" s="1"/>
  <c r="M42" i="3"/>
  <c r="B20" i="5" s="1"/>
  <c r="AF266" i="6"/>
  <c r="H36" i="7" s="1"/>
  <c r="AF262" i="6"/>
  <c r="H32" i="7" s="1"/>
  <c r="AF259" i="6"/>
  <c r="H29" i="7" s="1"/>
  <c r="J12" i="2"/>
  <c r="J11" i="2"/>
  <c r="J10" i="2"/>
  <c r="J14" i="2"/>
  <c r="J15" i="2"/>
  <c r="J9" i="2"/>
  <c r="J18" i="2"/>
  <c r="J13" i="2"/>
  <c r="D29" i="2"/>
  <c r="G12" i="12" s="1"/>
  <c r="Y26" i="3" l="1"/>
  <c r="G55" i="12" s="1"/>
  <c r="C30" i="12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70" i="6"/>
  <c r="H282" i="6" s="1"/>
  <c r="D270" i="6"/>
  <c r="F270" i="6"/>
  <c r="D282" i="6" s="1"/>
  <c r="E270" i="6"/>
  <c r="C270" i="6"/>
  <c r="J270" i="6"/>
  <c r="G282" i="6" s="1"/>
  <c r="G270" i="6"/>
  <c r="E282" i="6" s="1"/>
  <c r="L270" i="6"/>
  <c r="I282" i="6" s="1"/>
  <c r="H270" i="6"/>
  <c r="F282" i="6" s="1"/>
  <c r="B281" i="6"/>
  <c r="B270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9" i="6"/>
  <c r="J19" i="2"/>
  <c r="D27" i="2"/>
  <c r="G11" i="12" s="1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73" i="6"/>
  <c r="AA21" i="3"/>
  <c r="D274" i="6" l="1"/>
  <c r="G81" i="12"/>
  <c r="V34" i="5"/>
  <c r="N23" i="3" s="1"/>
  <c r="O23" i="3" s="1"/>
  <c r="V33" i="5"/>
  <c r="N22" i="3" s="1"/>
  <c r="O22" i="3" s="1"/>
  <c r="C282" i="6"/>
  <c r="B282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9" i="12" s="1"/>
  <c r="G53" i="2"/>
  <c r="J44" i="2"/>
  <c r="J41" i="2"/>
  <c r="J46" i="2"/>
  <c r="J47" i="2"/>
  <c r="J40" i="2"/>
  <c r="D275" i="6" l="1"/>
  <c r="G83" i="12" s="1"/>
  <c r="G82" i="12"/>
  <c r="N10" i="3"/>
  <c r="O10" i="3" s="1"/>
  <c r="Q37" i="3" s="1"/>
  <c r="G41" i="12" s="1"/>
  <c r="J282" i="6"/>
  <c r="B14" i="9" l="1"/>
  <c r="X7" i="3"/>
  <c r="E15" i="9"/>
  <c r="E25" i="9" s="1"/>
  <c r="B15" i="9"/>
  <c r="E14" i="9"/>
  <c r="E21" i="9" s="1"/>
  <c r="AC8" i="3" l="1"/>
  <c r="G47" i="12" s="1"/>
  <c r="X8" i="3"/>
  <c r="D47" i="12" s="1"/>
  <c r="X9" i="3"/>
  <c r="X10" i="3"/>
  <c r="X12" i="3"/>
  <c r="X11" i="3"/>
  <c r="E22" i="9"/>
  <c r="E20" i="9"/>
  <c r="E19" i="9"/>
  <c r="E23" i="9"/>
  <c r="AC10" i="3" l="1"/>
  <c r="G49" i="12" s="1"/>
  <c r="D49" i="12"/>
  <c r="AC9" i="3"/>
  <c r="G48" i="12" s="1"/>
  <c r="D48" i="12"/>
  <c r="AC11" i="3"/>
  <c r="G50" i="12" s="1"/>
  <c r="D50" i="12"/>
  <c r="AC12" i="3"/>
  <c r="G51" i="12" s="1"/>
  <c r="D5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AA27251E-7A8B-4021-A0DA-F555A42CB75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854F44F8-D18A-4226-8C35-E861B28B71F9}">
      <text>
        <r>
          <rPr>
            <sz val="9"/>
            <color indexed="81"/>
            <rFont val="Tahoma"/>
            <family val="2"/>
          </rPr>
          <t>$/kg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7A862C13-B024-467D-965A-794675894356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8A983112-02DE-4710-9A2C-F44D0941CB96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5B731467-C234-48E7-AA8C-C8F1CCFA49DD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ECE876B1-E576-4C14-875B-1F3C416CDF10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>Muro trombe con 2 vidrios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30°. La superficie es la proyectada vertical en la unión con el local a calefaccionar.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 xml:space="preserve">Invernadero adosado con muro posterior aislado térmicamente. Con aventanamiento vertical y techo vidriado inclinado a 30°.  La superficie es la proyectada vertical en la unión con el local a calefaccionar.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 xml:space="preserve">Invernadero Integrado con muro macizo, aventanamiento vertical y techo vidriado a 30° y con aislación nocturna.  La superficie es la proyectada vertical en la unión con el local a calefaccionar.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 xml:space="preserve">Invernadero Integrado con muro macizo, sólo aventanamiento vertical  y con aislación nocturna.  La superficie es la proyectada vertical en la unión con el local a calefaccionar.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7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75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0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(techos) 
/ superfiie cubierta a calefaccionar.</t>
        </r>
      </text>
    </comment>
    <comment ref="B11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2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1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5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<sst xmlns="http://schemas.openxmlformats.org/spreadsheetml/2006/main" count="1555" uniqueCount="727">
  <si>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</si>
  <si>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</si>
  <si>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</si>
  <si>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</si>
  <si>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</si>
  <si>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</si>
  <si>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</si>
  <si>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</si>
  <si>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</si>
  <si>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</si>
  <si>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</si>
  <si>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</si>
  <si>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</si>
  <si>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</si>
  <si>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</si>
  <si>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</si>
  <si>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</si>
  <si>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</si>
  <si>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</si>
  <si>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</si>
  <si>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</si>
  <si>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</si>
  <si>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</si>
  <si>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</si>
  <si>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</si>
  <si>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</si>
  <si>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</si>
  <si>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</si>
  <si>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</si>
  <si>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</si>
  <si>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</si>
  <si>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</si>
  <si>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</si>
  <si>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</si>
  <si>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</si>
  <si>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</si>
  <si>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</si>
  <si>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</si>
  <si>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</si>
  <si>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</si>
  <si>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</si>
  <si>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</si>
  <si>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</si>
  <si>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</si>
  <si>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</si>
  <si>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</si>
  <si>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</si>
  <si>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</si>
  <si>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</si>
  <si>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</si>
  <si>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</si>
  <si>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</si>
  <si>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</si>
  <si>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</si>
  <si>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</si>
  <si>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</si>
  <si>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</si>
  <si>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</si>
  <si>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</si>
  <si>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</si>
  <si>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</si>
  <si>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</si>
  <si>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</si>
  <si>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</si>
  <si>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</si>
  <si>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</si>
  <si>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</si>
  <si>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</si>
  <si>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</si>
  <si>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</si>
  <si>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</si>
  <si>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</si>
  <si>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</si>
  <si>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</si>
  <si>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</si>
  <si>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</si>
  <si>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</si>
  <si>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</si>
  <si>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</si>
  <si>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</si>
  <si>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</si>
  <si>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</si>
  <si>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</si>
  <si>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</si>
  <si>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</si>
  <si>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</si>
  <si>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</si>
  <si>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</si>
  <si>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</si>
  <si>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</si>
  <si>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</si>
  <si>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</si>
  <si>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</si>
  <si>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</si>
  <si>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</si>
  <si>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</si>
  <si>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</si>
  <si>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</si>
  <si>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</si>
  <si>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</si>
  <si>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</si>
  <si>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</si>
  <si>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</si>
  <si>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</si>
  <si>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</si>
  <si>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</si>
  <si>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</si>
  <si>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</si>
  <si>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</si>
  <si>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</si>
  <si>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</si>
  <si>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</si>
  <si>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</si>
  <si>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</si>
  <si>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</si>
  <si>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</si>
  <si>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</si>
  <si>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</si>
  <si>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</si>
  <si>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</si>
  <si>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</si>
  <si>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</si>
  <si>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</si>
  <si>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</si>
  <si>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</si>
  <si>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</si>
  <si>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</si>
  <si>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</si>
  <si>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</si>
  <si>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</si>
  <si>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</si>
  <si>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</si>
  <si>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</si>
  <si>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</si>
  <si>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</si>
  <si>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</si>
  <si>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</si>
  <si>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</si>
  <si>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</si>
  <si>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</si>
  <si>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</si>
  <si>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</si>
  <si>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</si>
  <si>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</si>
  <si>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</si>
  <si>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</si>
  <si>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</si>
  <si>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</si>
  <si>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</si>
  <si>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</si>
  <si>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</si>
  <si>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</si>
  <si>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</si>
  <si>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</si>
  <si>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</si>
  <si>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</si>
  <si>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</si>
  <si>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</si>
  <si>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</si>
  <si>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</si>
  <si>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</si>
  <si>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</si>
  <si>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</si>
  <si>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</si>
  <si>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</si>
  <si>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</si>
  <si>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</si>
  <si>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</si>
  <si>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</si>
  <si>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</si>
  <si>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</si>
  <si>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</si>
  <si>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</si>
  <si>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</si>
  <si>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</si>
  <si>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</si>
  <si>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</si>
  <si>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</si>
  <si>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</si>
  <si>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</si>
  <si>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</si>
  <si>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</si>
  <si>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</si>
  <si>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</si>
  <si>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</si>
  <si>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</si>
  <si>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</si>
  <si>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</si>
  <si>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</si>
  <si>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</si>
  <si>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</si>
  <si>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</si>
  <si>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</si>
  <si>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</si>
  <si>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</si>
  <si>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</si>
  <si>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</si>
  <si>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</si>
  <si>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</si>
  <si>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</si>
  <si>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6- Ganancias internas por equipamiento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</si>
  <si>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</si>
  <si>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</si>
  <si>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</si>
  <si>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</si>
  <si>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</si>
  <si>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</si>
  <si>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</si>
  <si>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</si>
  <si>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</si>
  <si>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</si>
  <si>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</si>
  <si>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</si>
  <si>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</si>
  <si>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</si>
  <si>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</si>
  <si>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</si>
  <si>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</si>
  <si>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</si>
  <si>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</si>
  <si>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</si>
  <si>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</si>
  <si>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</si>
  <si>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</si>
  <si>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</si>
  <si>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</si>
  <si>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</si>
  <si>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</si>
  <si>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</si>
  <si>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</si>
  <si>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</si>
  <si>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</si>
  <si>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</si>
  <si>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</si>
  <si>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</si>
  <si>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</si>
  <si>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</si>
  <si>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</si>
  <si>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</si>
  <si>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</si>
  <si>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</si>
  <si>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</si>
  <si>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</si>
  <si>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</si>
  <si>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</si>
  <si>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</si>
  <si>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</si>
  <si>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</si>
  <si>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</si>
  <si>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</si>
  <si>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</si>
  <si>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</si>
  <si>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</si>
  <si>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</si>
  <si>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</si>
  <si>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</si>
  <si>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</si>
  <si>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</si>
  <si>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5- Energía ganada por iluminación artificial: (Ingrese la potencia y las horas que permanece encendida)</t>
  </si>
  <si>
    <t>1-1 Diferencia de Temperaturas - Latitud: 35° - K=1.6 W/m².°C</t>
  </si>
  <si>
    <t>Dagoberto Sardina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</si>
  <si>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</si>
  <si>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</si>
  <si>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</si>
  <si>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</si>
  <si>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</si>
  <si>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</si>
  <si>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</si>
  <si>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</si>
  <si>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</si>
  <si>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</si>
  <si>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</si>
  <si>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</si>
  <si>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</si>
  <si>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</si>
  <si>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</si>
  <si>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</si>
  <si>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</si>
  <si>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</si>
  <si>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</si>
  <si>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</si>
  <si>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</si>
  <si>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</si>
  <si>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</si>
  <si>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</si>
  <si>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</si>
  <si>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</si>
  <si>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</si>
  <si>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</si>
  <si>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</si>
  <si>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</si>
  <si>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</si>
  <si>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</si>
  <si>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</si>
  <si>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</si>
  <si>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</si>
  <si>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</si>
  <si>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</si>
  <si>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</si>
  <si>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</si>
  <si>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</si>
  <si>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</si>
  <si>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</si>
  <si>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</si>
  <si>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</si>
  <si>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</si>
  <si>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</si>
  <si>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</si>
  <si>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</si>
  <si>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</si>
  <si>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</si>
  <si>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</si>
  <si>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</si>
  <si>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</si>
  <si>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</si>
  <si>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</si>
  <si>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</si>
  <si>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</si>
  <si>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</si>
  <si>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</si>
  <si>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</si>
  <si>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</si>
  <si>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</si>
  <si>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</si>
  <si>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</si>
  <si>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</si>
  <si>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</si>
  <si>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</si>
  <si>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</si>
  <si>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 xml:space="preserve">Precio  </t>
  </si>
  <si>
    <t>Unitario</t>
  </si>
  <si>
    <t>Calefacción</t>
  </si>
  <si>
    <t>Costo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</si>
  <si>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</si>
  <si>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</si>
  <si>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</si>
  <si>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</si>
  <si>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</si>
  <si>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</si>
  <si>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</si>
  <si>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</si>
  <si>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Capa 4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</si>
  <si>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</si>
  <si>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</si>
  <si>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</si>
  <si>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</si>
  <si>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</si>
  <si>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</si>
  <si>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</si>
  <si>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</si>
  <si>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</si>
  <si>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</si>
  <si>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</si>
  <si>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</si>
  <si>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</si>
  <si>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</si>
  <si>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</si>
  <si>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</si>
  <si>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</si>
  <si>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</si>
  <si>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</si>
  <si>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</si>
  <si>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</si>
  <si>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</si>
  <si>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</si>
  <si>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</si>
  <si>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</si>
  <si>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</si>
  <si>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</si>
  <si>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</si>
  <si>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</si>
  <si>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</si>
  <si>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</si>
  <si>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</si>
  <si>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</si>
  <si>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</si>
  <si>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</si>
  <si>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</si>
  <si>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</si>
  <si>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</si>
  <si>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</si>
  <si>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</si>
  <si>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</si>
  <si>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</si>
  <si>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</si>
  <si>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</si>
  <si>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</si>
  <si>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</si>
  <si>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</si>
  <si>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</si>
  <si>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</si>
  <si>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</si>
  <si>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</si>
  <si>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</si>
  <si>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</si>
  <si>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</si>
  <si>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</si>
  <si>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</si>
  <si>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</si>
  <si>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</si>
  <si>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</si>
  <si>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</si>
  <si>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</si>
  <si>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</si>
  <si>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</si>
  <si>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</si>
  <si>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</si>
  <si>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</si>
  <si>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</si>
  <si>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</si>
  <si>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</si>
  <si>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</si>
  <si>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</si>
  <si>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</si>
  <si>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</si>
  <si>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</si>
  <si>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</si>
  <si>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</si>
  <si>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</si>
  <si>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</si>
  <si>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</si>
  <si>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</si>
  <si>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</si>
  <si>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</si>
  <si>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</si>
  <si>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</si>
  <si>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</si>
  <si>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</si>
  <si>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Temp. Interior</t>
  </si>
  <si>
    <t>deseada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</si>
  <si>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</si>
  <si>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</si>
  <si>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</si>
  <si>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</si>
  <si>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</si>
  <si>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</si>
  <si>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</si>
  <si>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</si>
  <si>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</si>
  <si>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</si>
  <si>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</si>
  <si>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</si>
  <si>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</si>
  <si>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</si>
  <si>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5</t>
  </si>
  <si>
    <t>Capa 6</t>
  </si>
  <si>
    <t>Capa 7</t>
  </si>
  <si>
    <t>Indique material, espesor y conductividad térmica del muro</t>
  </si>
  <si>
    <t>Indique material, espesor y conductividad térmica del techo</t>
  </si>
  <si>
    <t>Losa maciza</t>
  </si>
  <si>
    <t>Membrana de caucho con aluminio</t>
  </si>
  <si>
    <t>Relleno alivianado con perlitas de poliestireno expandido (esp. Medio)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</si>
  <si>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</si>
  <si>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</si>
  <si>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</si>
  <si>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</si>
  <si>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</si>
  <si>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</si>
  <si>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</si>
  <si>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</si>
  <si>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</si>
  <si>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</si>
  <si>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</si>
  <si>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</si>
  <si>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</si>
  <si>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</si>
  <si>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</si>
  <si>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</si>
  <si>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</si>
  <si>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</si>
  <si>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</si>
  <si>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</si>
  <si>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</si>
  <si>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</si>
  <si>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</si>
  <si>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</si>
  <si>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</si>
  <si>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</si>
  <si>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</si>
  <si>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</si>
  <si>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</si>
  <si>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</si>
  <si>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</si>
  <si>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</si>
  <si>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</si>
  <si>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</si>
  <si>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</si>
  <si>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</si>
  <si>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</si>
  <si>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</si>
  <si>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</si>
  <si>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</si>
  <si>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</si>
  <si>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</si>
  <si>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</si>
  <si>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</si>
  <si>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</si>
  <si>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</si>
  <si>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</si>
  <si>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</si>
  <si>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</si>
  <si>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</si>
  <si>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</si>
  <si>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</si>
  <si>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</si>
  <si>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</si>
  <si>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</si>
  <si>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</si>
  <si>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</si>
  <si>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</si>
  <si>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</si>
  <si>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</si>
  <si>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</si>
  <si>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</si>
  <si>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</si>
  <si>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</si>
  <si>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</si>
  <si>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</si>
  <si>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</si>
  <si>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 xml:space="preserve">S 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</si>
  <si>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</si>
  <si>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</si>
  <si>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</si>
  <si>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</si>
  <si>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</si>
  <si>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</si>
  <si>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</si>
  <si>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</si>
  <si>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</si>
  <si>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</si>
  <si>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</si>
  <si>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</si>
  <si>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</si>
  <si>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</si>
  <si>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</si>
  <si>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</si>
  <si>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</si>
  <si>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</si>
  <si>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</si>
  <si>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</si>
  <si>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</si>
  <si>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</si>
  <si>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Fluorecente</t>
  </si>
  <si>
    <t>Fluorescente compacta</t>
  </si>
  <si>
    <t>c.l.e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</si>
  <si>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</si>
  <si>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</si>
  <si>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</si>
  <si>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</si>
  <si>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</si>
  <si>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</si>
  <si>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</si>
  <si>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</si>
  <si>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</si>
  <si>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</si>
  <si>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</si>
  <si>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</si>
  <si>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</si>
  <si>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</si>
  <si>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</si>
  <si>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>Tipo 1: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</si>
  <si>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</si>
  <si>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</si>
  <si>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</si>
  <si>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</si>
  <si>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</si>
  <si>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</si>
  <si>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</si>
  <si>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</si>
  <si>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</si>
  <si>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</si>
  <si>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</si>
  <si>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</si>
  <si>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</si>
  <si>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</si>
  <si>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</si>
  <si>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</si>
  <si>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</si>
  <si>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</si>
  <si>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</si>
  <si>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</si>
  <si>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</si>
  <si>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</si>
  <si>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</si>
  <si>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</si>
  <si>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</si>
  <si>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</si>
  <si>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</si>
  <si>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</si>
  <si>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</si>
  <si>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</si>
  <si>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</si>
  <si>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</si>
  <si>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</si>
  <si>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t>ésta tenga más superficie que menos. Para otras consideraciones de masa térmica ver cap. 5 libro.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</si>
  <si>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</si>
  <si>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</si>
  <si>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</si>
  <si>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</si>
  <si>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</si>
  <si>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</si>
  <si>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</si>
  <si>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</si>
  <si>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</si>
  <si>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</si>
  <si>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</si>
  <si>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</si>
  <si>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</si>
  <si>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</si>
  <si>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</si>
  <si>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</si>
  <si>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</si>
  <si>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</si>
  <si>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</si>
  <si>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</si>
  <si>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</si>
  <si>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</si>
  <si>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de cada tipo de ventana (ver capìtulo 5 del libro) y la obturación del vano por el marco.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</si>
  <si>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</si>
  <si>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</si>
  <si>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MTBl 1V</t>
  </si>
  <si>
    <t>MTBl 2V</t>
  </si>
  <si>
    <t>Localidades</t>
  </si>
  <si>
    <t>Longitud</t>
  </si>
  <si>
    <t>Altitud s.n.m.</t>
  </si>
  <si>
    <t>Archivo</t>
  </si>
  <si>
    <t>Tunuyán</t>
  </si>
  <si>
    <t>San Rafael</t>
  </si>
  <si>
    <t>Rama Caída</t>
  </si>
  <si>
    <t>Malargüe</t>
  </si>
  <si>
    <t>Bardas Blancas</t>
  </si>
  <si>
    <t>La Consulta</t>
  </si>
  <si>
    <t>San Carlos</t>
  </si>
  <si>
    <t>General Alvear</t>
  </si>
  <si>
    <t>Malargue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</si>
  <si>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</si>
  <si>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ganancia directa como masa térmica. Ver libro - capítulo 3 y 6.</t>
  </si>
  <si>
    <t>34,5ºS</t>
  </si>
  <si>
    <t>68,4º O</t>
  </si>
  <si>
    <t>748 msnm</t>
  </si>
  <si>
    <t>34,66º S</t>
  </si>
  <si>
    <t>68,38º O</t>
  </si>
  <si>
    <t>692 msnm</t>
  </si>
  <si>
    <t>35,3º S</t>
  </si>
  <si>
    <t>69,35º O</t>
  </si>
  <si>
    <t>1425 msnm</t>
  </si>
  <si>
    <t>35,87 S</t>
  </si>
  <si>
    <t>69,8º O</t>
  </si>
  <si>
    <t>750 msnm</t>
  </si>
  <si>
    <t>33,73º S</t>
  </si>
  <si>
    <t>69,12º O</t>
  </si>
  <si>
    <t>940 msnm</t>
  </si>
  <si>
    <t>33,76º S</t>
  </si>
  <si>
    <t>69,03º O</t>
  </si>
  <si>
    <t>35,0º S</t>
  </si>
  <si>
    <t>67,65º O</t>
  </si>
  <si>
    <t>465 msnm</t>
  </si>
  <si>
    <t>33,3ºS</t>
  </si>
  <si>
    <t>69,2º O</t>
  </si>
  <si>
    <t xml:space="preserve">Proyecto: </t>
  </si>
  <si>
    <t>Proyecto (vivienda, local comercial, escuela, oficina, etc.)</t>
  </si>
  <si>
    <t>Ingrese el índice (residencial: 1,0; locales uso diurno: 0,4)</t>
  </si>
  <si>
    <t>E.Eléctrica [kWh/año]:</t>
  </si>
  <si>
    <t xml:space="preserve">c.l.e.: cantidad de lámparas </t>
  </si>
  <si>
    <t>encendidas en esa hora.</t>
  </si>
  <si>
    <t>Siempre resulta mejor utilizar superficies de salida mayores, en este</t>
  </si>
  <si>
    <t>caso se sugiere utilizar hasta dos veces el valor obtenido en el punto 15.</t>
  </si>
  <si>
    <t>BALANCE TERMICO SISTEMAS PASIVOS/ACTIVOS PARA EDIFICIOS</t>
  </si>
  <si>
    <t>PROYECTO:</t>
  </si>
  <si>
    <t xml:space="preserve">Localidad considerada: </t>
  </si>
  <si>
    <t>1- FORMA</t>
  </si>
  <si>
    <t>FAEP Muros</t>
  </si>
  <si>
    <t>FF</t>
  </si>
  <si>
    <t>2- BALANCE TÉRMICO DE CALEFACCION:</t>
  </si>
  <si>
    <t>2.1 - Coeficiente Neto de Pérdidas (excluye ventanas N, E y O)</t>
  </si>
  <si>
    <t>Porcentaje de pérdidas de energía</t>
  </si>
  <si>
    <t>por cada elemento (en %)</t>
  </si>
  <si>
    <t>Elemento:</t>
  </si>
  <si>
    <t>Total:</t>
  </si>
  <si>
    <t>2.2 Fracción de Ahorro Solar:</t>
  </si>
  <si>
    <t>Superficie colectora total:</t>
  </si>
  <si>
    <r>
      <t>m</t>
    </r>
    <r>
      <rPr>
        <vertAlign val="superscript"/>
        <sz val="10"/>
        <rFont val="Arial"/>
        <family val="2"/>
      </rPr>
      <t>2</t>
    </r>
  </si>
  <si>
    <t>Fracción de Ahorro Solar:</t>
  </si>
  <si>
    <t>2.3 Calor auxiliar anual y costo:</t>
  </si>
  <si>
    <t>Importante</t>
  </si>
  <si>
    <t>Valor</t>
  </si>
  <si>
    <t>Unidad</t>
  </si>
  <si>
    <t>Precio</t>
  </si>
  <si>
    <t>Costo anual</t>
  </si>
  <si>
    <t>Electricidad</t>
  </si>
  <si>
    <t>kg GE</t>
  </si>
  <si>
    <t>m3 GN</t>
  </si>
  <si>
    <t>litros</t>
  </si>
  <si>
    <t>kg m.dura</t>
  </si>
  <si>
    <t>2.4 Potencia de calefacción: (Esta potencia deberá repartirse en 2 o 3 equipos)</t>
  </si>
  <si>
    <t>3- BALANCE TERMICO DE ENFRIAMIENTO</t>
  </si>
  <si>
    <t xml:space="preserve">Ganancia térmica diaria: </t>
  </si>
  <si>
    <t>Wh/día</t>
  </si>
  <si>
    <t>3.1 Enfriamiento convectivo nocturno</t>
  </si>
  <si>
    <t>Superficie de ventanas de abrir:</t>
  </si>
  <si>
    <t>Masa Térmica considerada:</t>
  </si>
  <si>
    <t>3.2 Ventilación Natural (en localidades o épocas que la temperatura exterior es de confort)</t>
  </si>
  <si>
    <t>Con estas aberturas aseguraríamos la ventilación suficiente para el edificio en los</t>
  </si>
  <si>
    <t>Potencia del equipo de aire acondicionado mecánico (no incluye rendimiento del equipo)</t>
  </si>
  <si>
    <t>Vivienda Perez - General Alvear, Mendoza</t>
  </si>
  <si>
    <t>Altura interior:</t>
  </si>
  <si>
    <t>CNP:</t>
  </si>
  <si>
    <t>W/°C</t>
  </si>
  <si>
    <t>En cocina se considera 1 h para almuerzo y cena y 15 minutos para desayuno y mediatarde y si es a gas 1500W por hornalla y 3000 W el horno.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</si>
  <si>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</si>
  <si>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</si>
  <si>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T.V. Led</t>
  </si>
  <si>
    <t>Notebook</t>
  </si>
  <si>
    <t>Ladrillo hueco</t>
  </si>
  <si>
    <t>Material</t>
  </si>
  <si>
    <t>Muros interiores</t>
  </si>
  <si>
    <t>Concrehaus</t>
  </si>
  <si>
    <t>Espesor [m]</t>
  </si>
  <si>
    <t>Muros int.:</t>
  </si>
  <si>
    <t>Ancho de fachada (m)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</si>
  <si>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</si>
  <si>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Puertas (m2)</t>
  </si>
  <si>
    <t>Ventanas (m2)</t>
  </si>
  <si>
    <t>Sup. Cubierta a calefaccionar</t>
  </si>
  <si>
    <t>Temperatura interior para la ventilación natural</t>
  </si>
  <si>
    <t>Altura  del muro</t>
  </si>
  <si>
    <t>Altura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</si>
</sst>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\ #,##0;\-&quot;$&quot;\ #,##0"/>
    <numFmt numFmtId="164" formatCode="&quot;$&quot;#,##0_);\(&quot;$&quot;#,##0\)"/>
    <numFmt numFmtId="165" formatCode="0.0"/>
    <numFmt numFmtId="166" formatCode="0.000"/>
    <numFmt numFmtId="167" formatCode="0.0%"/>
    <numFmt numFmtId="168" formatCode="[$$-2C0A]\ #,##0.0"/>
    <numFmt numFmtId="169" formatCode="&quot;$&quot;\ #,##0.00"/>
    <numFmt numFmtId="170" formatCode="&quot;$&quot;\ #,##0.0"/>
  </numFmts>
  <fonts count="26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D757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663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0" fontId="0" fillId="4" borderId="0" xfId="0" applyFill="1" applyBorder="1" applyAlignment="1"/>
    <xf numFmtId="165" fontId="0" fillId="4" borderId="0" xfId="0" applyNumberFormat="1" applyFill="1" applyBorder="1" applyAlignment="1"/>
    <xf numFmtId="0" fontId="0" fillId="4" borderId="14" xfId="0" applyFill="1" applyBorder="1" applyAlignment="1"/>
    <xf numFmtId="2" fontId="0" fillId="4" borderId="0" xfId="0" applyNumberFormat="1" applyFill="1" applyBorder="1" applyAlignment="1"/>
    <xf numFmtId="0" fontId="5" fillId="4" borderId="9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0" xfId="0" applyNumberFormat="1" applyFont="1" applyFill="1" applyBorder="1" applyAlignment="1"/>
    <xf numFmtId="166" fontId="0" fillId="4" borderId="0" xfId="0" applyNumberFormat="1" applyFill="1" applyBorder="1" applyAlignment="1"/>
    <xf numFmtId="165" fontId="3" fillId="4" borderId="13" xfId="0" applyNumberFormat="1" applyFont="1" applyFill="1" applyBorder="1" applyAlignment="1"/>
    <xf numFmtId="166" fontId="0" fillId="4" borderId="0" xfId="0" applyNumberFormat="1" applyFill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3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5" fontId="0" fillId="4" borderId="10" xfId="0" applyNumberFormat="1" applyFill="1" applyBorder="1" applyAlignment="1"/>
    <xf numFmtId="2" fontId="0" fillId="5" borderId="24" xfId="0" applyNumberFormat="1" applyFill="1" applyBorder="1" applyAlignment="1"/>
    <xf numFmtId="165" fontId="0" fillId="4" borderId="24" xfId="0" applyNumberFormat="1" applyFill="1" applyBorder="1" applyAlignment="1"/>
    <xf numFmtId="0" fontId="0" fillId="4" borderId="3" xfId="0" applyFill="1" applyBorder="1" applyAlignment="1"/>
    <xf numFmtId="165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2" fontId="0" fillId="4" borderId="0" xfId="0" applyNumberFormat="1" applyFill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5" fontId="3" fillId="4" borderId="22" xfId="0" applyNumberFormat="1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3" fillId="4" borderId="0" xfId="0" applyNumberFormat="1" applyFont="1" applyFill="1" applyAlignment="1"/>
    <xf numFmtId="0" fontId="0" fillId="0" borderId="0" xfId="0">
      <alignment vertical="top"/>
    </xf>
    <xf numFmtId="167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67" fontId="0" fillId="4" borderId="0" xfId="0" applyNumberFormat="1" applyFill="1" applyBorder="1" applyAlignment="1"/>
    <xf numFmtId="167" fontId="4" fillId="4" borderId="0" xfId="0" applyNumberFormat="1" applyFont="1" applyFill="1" applyBorder="1" applyAlignment="1">
      <alignment horizontal="center"/>
    </xf>
    <xf numFmtId="167" fontId="0" fillId="4" borderId="0" xfId="0" applyNumberFormat="1" applyFill="1" applyAlignment="1"/>
    <xf numFmtId="167" fontId="10" fillId="4" borderId="0" xfId="0" applyNumberFormat="1" applyFont="1" applyFill="1" applyBorder="1" applyAlignment="1">
      <alignment horizontal="center"/>
    </xf>
    <xf numFmtId="167" fontId="3" fillId="4" borderId="5" xfId="0" applyNumberFormat="1" applyFont="1" applyFill="1" applyBorder="1" applyAlignment="1"/>
    <xf numFmtId="165" fontId="0" fillId="4" borderId="0" xfId="0" applyNumberFormat="1" applyFill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5" fontId="0" fillId="0" borderId="0" xfId="0" applyNumberFormat="1">
      <alignment vertical="top"/>
    </xf>
    <xf numFmtId="0" fontId="0" fillId="0" borderId="0" xfId="0" applyBorder="1">
      <alignment vertical="top"/>
    </xf>
    <xf numFmtId="165" fontId="0" fillId="0" borderId="0" xfId="0" applyNumberFormat="1" applyAlignment="1"/>
    <xf numFmtId="167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5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0" fillId="7" borderId="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0" xfId="0" applyFont="1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5" fontId="0" fillId="8" borderId="0" xfId="0" applyNumberFormat="1" applyFill="1" applyBorder="1" applyAlignment="1"/>
    <xf numFmtId="165" fontId="0" fillId="2" borderId="0" xfId="0" applyNumberFormat="1" applyFill="1" applyBorder="1" applyAlignment="1"/>
    <xf numFmtId="0" fontId="13" fillId="4" borderId="0" xfId="0" applyFont="1" applyFill="1" applyAlignment="1"/>
    <xf numFmtId="168" fontId="3" fillId="4" borderId="14" xfId="0" applyNumberFormat="1" applyFont="1" applyFill="1" applyBorder="1" applyAlignment="1"/>
    <xf numFmtId="168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3" fillId="3" borderId="17" xfId="0" applyFont="1" applyFill="1" applyBorder="1" applyAlignment="1"/>
    <xf numFmtId="0" fontId="0" fillId="4" borderId="2" xfId="0" applyFill="1" applyBorder="1" applyAlignment="1"/>
    <xf numFmtId="0" fontId="4" fillId="4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166" fontId="0" fillId="4" borderId="14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10" borderId="0" xfId="0" applyFill="1" applyBorder="1" applyAlignment="1"/>
    <xf numFmtId="165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8" fontId="3" fillId="12" borderId="0" xfId="0" applyNumberFormat="1" applyFont="1" applyFill="1" applyBorder="1" applyAlignment="1"/>
    <xf numFmtId="168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6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10" borderId="16" xfId="0" applyFont="1" applyFill="1" applyBorder="1" applyAlignment="1"/>
    <xf numFmtId="0" fontId="3" fillId="10" borderId="0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7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5" fontId="0" fillId="7" borderId="9" xfId="0" applyNumberFormat="1" applyFill="1" applyBorder="1" applyAlignment="1">
      <alignment horizontal="center" vertical="top"/>
    </xf>
    <xf numFmtId="165" fontId="0" fillId="7" borderId="24" xfId="0" applyNumberFormat="1" applyFill="1" applyBorder="1" applyAlignment="1">
      <alignment horizontal="center" vertical="top"/>
    </xf>
    <xf numFmtId="165" fontId="0" fillId="7" borderId="0" xfId="0" applyNumberFormat="1" applyFill="1" applyBorder="1" applyAlignment="1">
      <alignment horizontal="center" vertical="top"/>
    </xf>
    <xf numFmtId="165" fontId="0" fillId="7" borderId="14" xfId="0" applyNumberFormat="1" applyFill="1" applyBorder="1" applyAlignment="1">
      <alignment horizontal="center" vertical="top"/>
    </xf>
    <xf numFmtId="165" fontId="0" fillId="7" borderId="11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165" fontId="0" fillId="7" borderId="13" xfId="0" applyNumberFormat="1" applyFill="1" applyBorder="1" applyAlignment="1">
      <alignment horizontal="center" vertical="top"/>
    </xf>
    <xf numFmtId="165" fontId="0" fillId="7" borderId="12" xfId="0" applyNumberFormat="1" applyFill="1" applyBorder="1" applyAlignment="1">
      <alignment horizontal="center" vertical="top"/>
    </xf>
    <xf numFmtId="167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0" borderId="0" xfId="0" applyFill="1" applyAlignment="1"/>
    <xf numFmtId="0" fontId="0" fillId="0" borderId="0" xfId="0" applyBorder="1" applyAlignment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3" fillId="0" borderId="0" xfId="0" applyFont="1" applyFill="1" applyAlignment="1"/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Border="1" applyAlignment="1"/>
    <xf numFmtId="166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4" xfId="0" applyFill="1" applyBorder="1">
      <alignment vertical="top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5" fontId="0" fillId="7" borderId="5" xfId="0" applyNumberFormat="1" applyFill="1" applyBorder="1">
      <alignment vertical="top"/>
    </xf>
    <xf numFmtId="2" fontId="0" fillId="7" borderId="0" xfId="0" applyNumberFormat="1" applyFill="1" applyBorder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5" fontId="0" fillId="4" borderId="5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165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5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Border="1" applyAlignment="1">
      <alignment horizontal="justify" vertical="top" wrapText="1"/>
    </xf>
    <xf numFmtId="165" fontId="16" fillId="0" borderId="0" xfId="0" applyNumberFormat="1" applyFont="1" applyBorder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0" fillId="0" borderId="0" xfId="0" applyFill="1" applyBorder="1" applyAlignment="1"/>
    <xf numFmtId="0" fontId="3" fillId="0" borderId="0" xfId="0" applyFont="1" applyFill="1" applyBorder="1">
      <alignment vertical="top"/>
    </xf>
    <xf numFmtId="0" fontId="0" fillId="0" borderId="0" xfId="0" applyFill="1" applyBorder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5" fontId="0" fillId="7" borderId="34" xfId="0" applyNumberFormat="1" applyFill="1" applyBorder="1" applyAlignment="1">
      <alignment horizontal="center" vertical="top"/>
    </xf>
    <xf numFmtId="167" fontId="0" fillId="7" borderId="34" xfId="0" applyNumberFormat="1" applyFill="1" applyBorder="1" applyAlignment="1">
      <alignment horizontal="center" vertical="top"/>
    </xf>
    <xf numFmtId="165" fontId="0" fillId="4" borderId="34" xfId="0" applyNumberFormat="1" applyFill="1" applyBorder="1" applyAlignment="1">
      <alignment horizontal="center"/>
    </xf>
    <xf numFmtId="167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5" fontId="0" fillId="7" borderId="40" xfId="0" applyNumberFormat="1" applyFill="1" applyBorder="1" applyAlignment="1">
      <alignment horizontal="center" vertical="top"/>
    </xf>
    <xf numFmtId="167" fontId="0" fillId="7" borderId="40" xfId="0" applyNumberFormat="1" applyFill="1" applyBorder="1" applyAlignment="1">
      <alignment horizontal="center" vertical="top"/>
    </xf>
    <xf numFmtId="165" fontId="0" fillId="4" borderId="40" xfId="0" applyNumberFormat="1" applyFill="1" applyBorder="1" applyAlignment="1">
      <alignment horizontal="center"/>
    </xf>
    <xf numFmtId="167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165" fontId="0" fillId="7" borderId="0" xfId="0" applyNumberFormat="1" applyFill="1" applyBorder="1">
      <alignment vertical="top"/>
    </xf>
    <xf numFmtId="165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5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5" fontId="0" fillId="11" borderId="24" xfId="0" applyNumberFormat="1" applyFill="1" applyBorder="1" applyAlignment="1">
      <alignment horizontal="center" vertical="top"/>
    </xf>
    <xf numFmtId="165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5" fontId="0" fillId="11" borderId="0" xfId="0" applyNumberFormat="1" applyFill="1" applyAlignment="1"/>
    <xf numFmtId="165" fontId="3" fillId="7" borderId="0" xfId="0" applyNumberFormat="1" applyFont="1" applyFill="1">
      <alignment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6" fillId="11" borderId="24" xfId="0" applyFont="1" applyFill="1" applyBorder="1" applyAlignment="1"/>
    <xf numFmtId="0" fontId="6" fillId="11" borderId="0" xfId="0" applyFont="1" applyFill="1" applyBorder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5" fontId="0" fillId="11" borderId="53" xfId="0" applyNumberFormat="1" applyFill="1" applyBorder="1" applyAlignment="1"/>
    <xf numFmtId="165" fontId="0" fillId="11" borderId="54" xfId="0" applyNumberFormat="1" applyFill="1" applyBorder="1" applyAlignment="1"/>
    <xf numFmtId="165" fontId="0" fillId="11" borderId="55" xfId="0" applyNumberFormat="1" applyFill="1" applyBorder="1" applyAlignment="1">
      <alignment horizontal="center" vertical="top"/>
    </xf>
    <xf numFmtId="165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5" fontId="0" fillId="4" borderId="21" xfId="0" applyNumberFormat="1" applyFill="1" applyBorder="1" applyAlignment="1"/>
    <xf numFmtId="0" fontId="4" fillId="13" borderId="0" xfId="0" applyFont="1" applyFill="1" applyAlignment="1">
      <alignment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5" fontId="0" fillId="21" borderId="12" xfId="0" applyNumberFormat="1" applyFill="1" applyBorder="1" applyAlignment="1"/>
    <xf numFmtId="165" fontId="0" fillId="21" borderId="3" xfId="0" applyNumberFormat="1" applyFill="1" applyBorder="1" applyAlignment="1"/>
    <xf numFmtId="165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0" fontId="3" fillId="22" borderId="39" xfId="0" applyFon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5" fontId="3" fillId="22" borderId="5" xfId="0" applyNumberFormat="1" applyFont="1" applyFill="1" applyBorder="1">
      <alignment vertical="top"/>
    </xf>
    <xf numFmtId="0" fontId="3" fillId="22" borderId="16" xfId="0" applyFont="1" applyFill="1" applyBorder="1">
      <alignment vertical="top"/>
    </xf>
    <xf numFmtId="165" fontId="3" fillId="22" borderId="0" xfId="0" applyNumberFormat="1" applyFont="1" applyFill="1" applyBorder="1">
      <alignment vertical="top"/>
    </xf>
    <xf numFmtId="0" fontId="3" fillId="22" borderId="17" xfId="0" applyFont="1" applyFill="1" applyBorder="1">
      <alignment vertical="top"/>
    </xf>
    <xf numFmtId="165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5" fontId="0" fillId="22" borderId="0" xfId="0" applyNumberFormat="1" applyFill="1" applyAlignment="1"/>
    <xf numFmtId="0" fontId="0" fillId="20" borderId="0" xfId="0" applyFill="1" applyBorder="1" applyAlignment="1"/>
    <xf numFmtId="0" fontId="4" fillId="20" borderId="22" xfId="0" applyFon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7" xfId="0" applyFont="1" applyFill="1" applyBorder="1" applyAlignment="1"/>
    <xf numFmtId="0" fontId="3" fillId="19" borderId="48" xfId="0" applyFont="1" applyFill="1" applyBorder="1" applyAlignment="1"/>
    <xf numFmtId="0" fontId="3" fillId="23" borderId="63" xfId="0" applyFont="1" applyFill="1" applyBorder="1" applyAlignment="1"/>
    <xf numFmtId="0" fontId="0" fillId="23" borderId="8" xfId="0" applyFill="1" applyBorder="1" applyAlignment="1">
      <alignment horizontal="center"/>
    </xf>
    <xf numFmtId="165" fontId="0" fillId="23" borderId="8" xfId="0" applyNumberFormat="1" applyFill="1" applyBorder="1" applyAlignment="1"/>
    <xf numFmtId="165" fontId="0" fillId="23" borderId="10" xfId="0" applyNumberFormat="1" applyFill="1" applyBorder="1" applyAlignment="1"/>
    <xf numFmtId="165" fontId="0" fillId="23" borderId="37" xfId="0" applyNumberFormat="1" applyFill="1" applyBorder="1" applyAlignment="1"/>
    <xf numFmtId="0" fontId="3" fillId="23" borderId="57" xfId="0" applyFont="1" applyFill="1" applyBorder="1" applyAlignment="1">
      <alignment horizontal="center"/>
    </xf>
    <xf numFmtId="0" fontId="4" fillId="23" borderId="12" xfId="0" applyFont="1" applyFill="1" applyBorder="1" applyAlignment="1">
      <alignment horizontal="center"/>
    </xf>
    <xf numFmtId="2" fontId="0" fillId="23" borderId="12" xfId="0" applyNumberFormat="1" applyFill="1" applyBorder="1" applyAlignment="1"/>
    <xf numFmtId="2" fontId="0" fillId="23" borderId="3" xfId="0" applyNumberFormat="1" applyFill="1" applyBorder="1" applyAlignment="1"/>
    <xf numFmtId="2" fontId="0" fillId="23" borderId="38" xfId="0" applyNumberFormat="1" applyFill="1" applyBorder="1" applyAlignment="1"/>
    <xf numFmtId="0" fontId="3" fillId="23" borderId="17" xfId="0" applyFont="1" applyFill="1" applyBorder="1" applyAlignment="1"/>
    <xf numFmtId="0" fontId="0" fillId="23" borderId="50" xfId="0" applyFill="1" applyBorder="1" applyAlignment="1">
      <alignment horizontal="center"/>
    </xf>
    <xf numFmtId="2" fontId="0" fillId="23" borderId="46" xfId="0" applyNumberFormat="1" applyFill="1" applyBorder="1" applyAlignment="1"/>
    <xf numFmtId="2" fontId="0" fillId="23" borderId="40" xfId="0" applyNumberFormat="1" applyFill="1" applyBorder="1" applyAlignment="1"/>
    <xf numFmtId="2" fontId="0" fillId="23" borderId="41" xfId="0" applyNumberFormat="1" applyFill="1" applyBorder="1" applyAlignment="1"/>
    <xf numFmtId="0" fontId="3" fillId="24" borderId="33" xfId="0" applyFont="1" applyFill="1" applyBorder="1" applyAlignment="1"/>
    <xf numFmtId="0" fontId="0" fillId="24" borderId="34" xfId="0" applyFill="1" applyBorder="1" applyAlignment="1"/>
    <xf numFmtId="0" fontId="0" fillId="24" borderId="35" xfId="0" applyFill="1" applyBorder="1" applyAlignment="1"/>
    <xf numFmtId="0" fontId="3" fillId="24" borderId="39" xfId="0" applyFont="1" applyFill="1" applyBorder="1" applyAlignment="1"/>
    <xf numFmtId="0" fontId="0" fillId="24" borderId="40" xfId="0" applyFill="1" applyBorder="1" applyAlignment="1"/>
    <xf numFmtId="0" fontId="0" fillId="24" borderId="41" xfId="0" applyFill="1" applyBorder="1" applyAlignment="1"/>
    <xf numFmtId="0" fontId="3" fillId="20" borderId="41" xfId="0" applyFont="1" applyFill="1" applyBorder="1" applyAlignment="1">
      <alignment horizontal="center"/>
    </xf>
    <xf numFmtId="0" fontId="4" fillId="7" borderId="0" xfId="0" applyFont="1" applyFill="1" applyBorder="1">
      <alignment vertical="top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0" fontId="3" fillId="7" borderId="16" xfId="0" applyFont="1" applyFill="1" applyBorder="1" applyAlignment="1">
      <alignment vertical="top"/>
    </xf>
    <xf numFmtId="2" fontId="0" fillId="0" borderId="0" xfId="0" applyNumberFormat="1" applyAlignment="1"/>
    <xf numFmtId="0" fontId="0" fillId="0" borderId="26" xfId="0" applyFill="1" applyBorder="1" applyAlignment="1"/>
    <xf numFmtId="165" fontId="0" fillId="11" borderId="0" xfId="0" applyNumberForma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4" fillId="11" borderId="0" xfId="0" applyFont="1" applyFill="1" applyAlignment="1">
      <alignment horizontal="center"/>
    </xf>
    <xf numFmtId="0" fontId="0" fillId="25" borderId="2" xfId="0" applyFill="1" applyBorder="1" applyAlignment="1"/>
    <xf numFmtId="0" fontId="4" fillId="25" borderId="2" xfId="0" applyFont="1" applyFill="1" applyBorder="1" applyAlignment="1"/>
    <xf numFmtId="0" fontId="0" fillId="26" borderId="2" xfId="0" applyFill="1" applyBorder="1" applyAlignment="1"/>
    <xf numFmtId="0" fontId="3" fillId="20" borderId="2" xfId="0" applyFont="1" applyFill="1" applyBorder="1" applyAlignment="1">
      <alignment horizontal="center"/>
    </xf>
    <xf numFmtId="165" fontId="4" fillId="11" borderId="0" xfId="0" applyNumberFormat="1" applyFont="1" applyFill="1" applyAlignment="1"/>
    <xf numFmtId="0" fontId="3" fillId="25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4" fillId="25" borderId="17" xfId="0" applyFont="1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5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2" fontId="0" fillId="0" borderId="15" xfId="0" applyNumberFormat="1" applyBorder="1" applyAlignment="1"/>
    <xf numFmtId="0" fontId="0" fillId="0" borderId="16" xfId="0" applyBorder="1" applyAlignment="1"/>
    <xf numFmtId="2" fontId="0" fillId="0" borderId="21" xfId="0" applyNumberFormat="1" applyBorder="1" applyAlignment="1"/>
    <xf numFmtId="0" fontId="4" fillId="0" borderId="17" xfId="0" applyFont="1" applyBorder="1" applyAlignment="1"/>
    <xf numFmtId="2" fontId="4" fillId="0" borderId="23" xfId="0" applyNumberFormat="1" applyFont="1" applyBorder="1" applyAlignment="1"/>
    <xf numFmtId="0" fontId="22" fillId="0" borderId="0" xfId="0" applyFont="1" applyAlignment="1"/>
    <xf numFmtId="0" fontId="4" fillId="0" borderId="4" xfId="0" applyFont="1" applyBorder="1" applyAlignment="1"/>
    <xf numFmtId="0" fontId="0" fillId="0" borderId="15" xfId="0" applyBorder="1" applyAlignment="1"/>
    <xf numFmtId="0" fontId="0" fillId="0" borderId="21" xfId="0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3" fillId="0" borderId="16" xfId="0" applyFont="1" applyBorder="1" applyAlignment="1"/>
    <xf numFmtId="0" fontId="3" fillId="0" borderId="0" xfId="0" applyFont="1" applyBorder="1" applyAlignment="1">
      <alignment horizontal="center"/>
    </xf>
    <xf numFmtId="165" fontId="0" fillId="0" borderId="0" xfId="0" applyNumberFormat="1" applyBorder="1" applyAlignment="1"/>
    <xf numFmtId="0" fontId="0" fillId="0" borderId="17" xfId="0" applyBorder="1" applyAlignment="1"/>
    <xf numFmtId="0" fontId="3" fillId="0" borderId="4" xfId="0" applyFont="1" applyBorder="1" applyAlignment="1"/>
    <xf numFmtId="0" fontId="4" fillId="0" borderId="21" xfId="0" applyFont="1" applyFill="1" applyBorder="1" applyAlignment="1"/>
    <xf numFmtId="0" fontId="4" fillId="0" borderId="17" xfId="0" applyFont="1" applyFill="1" applyBorder="1" applyAlignment="1"/>
    <xf numFmtId="0" fontId="0" fillId="0" borderId="22" xfId="0" applyFill="1" applyBorder="1" applyAlignment="1"/>
    <xf numFmtId="167" fontId="0" fillId="0" borderId="22" xfId="0" applyNumberFormat="1" applyFill="1" applyBorder="1" applyAlignment="1"/>
    <xf numFmtId="0" fontId="0" fillId="0" borderId="23" xfId="0" applyFill="1" applyBorder="1" applyAlignment="1"/>
    <xf numFmtId="0" fontId="3" fillId="0" borderId="4" xfId="0" applyFont="1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21" xfId="0" applyFill="1" applyBorder="1" applyAlignment="1"/>
    <xf numFmtId="0" fontId="2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17" xfId="0" applyFill="1" applyBorder="1" applyAlignment="1"/>
    <xf numFmtId="0" fontId="4" fillId="0" borderId="22" xfId="0" applyFont="1" applyFill="1" applyBorder="1" applyAlignment="1"/>
    <xf numFmtId="1" fontId="3" fillId="27" borderId="22" xfId="0" applyNumberFormat="1" applyFont="1" applyFill="1" applyBorder="1" applyAlignment="1"/>
    <xf numFmtId="0" fontId="3" fillId="0" borderId="23" xfId="0" applyFont="1" applyFill="1" applyBorder="1" applyAlignment="1"/>
    <xf numFmtId="0" fontId="3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Fill="1" applyBorder="1">
      <alignment vertical="top"/>
    </xf>
    <xf numFmtId="0" fontId="3" fillId="0" borderId="16" xfId="0" applyFont="1" applyFill="1" applyBorder="1">
      <alignment vertical="top"/>
    </xf>
    <xf numFmtId="0" fontId="3" fillId="0" borderId="17" xfId="0" applyFont="1" applyFill="1" applyBorder="1">
      <alignment vertical="top"/>
    </xf>
    <xf numFmtId="0" fontId="3" fillId="0" borderId="5" xfId="0" applyFont="1" applyFill="1" applyBorder="1" applyAlignment="1"/>
    <xf numFmtId="0" fontId="0" fillId="0" borderId="15" xfId="0" applyFill="1" applyBorder="1">
      <alignment vertical="top"/>
    </xf>
    <xf numFmtId="0" fontId="3" fillId="0" borderId="15" xfId="0" applyFont="1" applyFill="1" applyBorder="1">
      <alignment vertical="top"/>
    </xf>
    <xf numFmtId="0" fontId="3" fillId="0" borderId="4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0" fillId="0" borderId="33" xfId="0" applyFill="1" applyBorder="1" applyAlignment="1"/>
    <xf numFmtId="0" fontId="0" fillId="0" borderId="39" xfId="0" applyFill="1" applyBorder="1">
      <alignment vertical="top"/>
    </xf>
    <xf numFmtId="0" fontId="4" fillId="0" borderId="0" xfId="0" applyFont="1" applyFill="1" applyBorder="1">
      <alignment vertical="top"/>
    </xf>
    <xf numFmtId="0" fontId="24" fillId="0" borderId="22" xfId="0" applyFont="1" applyFill="1" applyBorder="1" applyAlignment="1"/>
    <xf numFmtId="0" fontId="3" fillId="0" borderId="5" xfId="0" applyFont="1" applyFill="1" applyBorder="1" applyAlignment="1">
      <alignment vertical="top"/>
    </xf>
    <xf numFmtId="0" fontId="4" fillId="4" borderId="16" xfId="0" applyFont="1" applyFill="1" applyBorder="1" applyAlignment="1"/>
    <xf numFmtId="0" fontId="3" fillId="28" borderId="19" xfId="0" applyFont="1" applyFill="1" applyBorder="1" applyAlignment="1">
      <alignment horizontal="left"/>
    </xf>
    <xf numFmtId="0" fontId="3" fillId="28" borderId="19" xfId="0" applyFont="1" applyFill="1" applyBorder="1" applyAlignment="1">
      <alignment horizontal="center"/>
    </xf>
    <xf numFmtId="0" fontId="3" fillId="28" borderId="20" xfId="0" applyFont="1" applyFill="1" applyBorder="1" applyAlignment="1">
      <alignment horizontal="center"/>
    </xf>
    <xf numFmtId="2" fontId="0" fillId="28" borderId="5" xfId="0" applyNumberFormat="1" applyFill="1" applyBorder="1" applyAlignment="1"/>
    <xf numFmtId="2" fontId="0" fillId="28" borderId="0" xfId="0" applyNumberFormat="1" applyFill="1" applyBorder="1" applyAlignment="1"/>
    <xf numFmtId="2" fontId="0" fillId="28" borderId="22" xfId="0" applyNumberFormat="1" applyFill="1" applyBorder="1" applyAlignment="1"/>
    <xf numFmtId="165" fontId="0" fillId="28" borderId="0" xfId="0" applyNumberFormat="1" applyFill="1" applyBorder="1" applyAlignment="1"/>
    <xf numFmtId="165" fontId="4" fillId="28" borderId="0" xfId="0" applyNumberFormat="1" applyFont="1" applyFill="1" applyBorder="1" applyAlignment="1"/>
    <xf numFmtId="165" fontId="4" fillId="28" borderId="22" xfId="0" applyNumberFormat="1" applyFont="1" applyFill="1" applyBorder="1" applyAlignment="1"/>
    <xf numFmtId="169" fontId="0" fillId="28" borderId="0" xfId="0" applyNumberFormat="1" applyFill="1" applyBorder="1" applyAlignment="1"/>
    <xf numFmtId="169" fontId="0" fillId="28" borderId="22" xfId="0" applyNumberFormat="1" applyFill="1" applyBorder="1" applyAlignment="1"/>
    <xf numFmtId="170" fontId="0" fillId="28" borderId="0" xfId="0" applyNumberFormat="1" applyFill="1" applyBorder="1" applyAlignment="1"/>
    <xf numFmtId="170" fontId="0" fillId="28" borderId="22" xfId="0" applyNumberFormat="1" applyFill="1" applyBorder="1" applyAlignment="1"/>
    <xf numFmtId="0" fontId="0" fillId="28" borderId="0" xfId="0" applyFill="1" applyBorder="1" applyAlignment="1"/>
    <xf numFmtId="165" fontId="0" fillId="28" borderId="34" xfId="0" applyNumberFormat="1" applyFill="1" applyBorder="1" applyAlignment="1">
      <alignment horizontal="center" vertical="top"/>
    </xf>
    <xf numFmtId="167" fontId="0" fillId="28" borderId="34" xfId="0" applyNumberFormat="1" applyFill="1" applyBorder="1" applyAlignment="1">
      <alignment horizontal="center" vertical="top"/>
    </xf>
    <xf numFmtId="0" fontId="0" fillId="28" borderId="0" xfId="0" applyFill="1" applyBorder="1">
      <alignment vertical="top"/>
    </xf>
    <xf numFmtId="0" fontId="0" fillId="7" borderId="18" xfId="0" applyFill="1" applyBorder="1" applyAlignment="1">
      <alignment horizontal="center" vertical="top"/>
    </xf>
    <xf numFmtId="0" fontId="4" fillId="7" borderId="20" xfId="0" applyFont="1" applyFill="1" applyBorder="1" applyAlignment="1">
      <alignment horizontal="center" vertical="top"/>
    </xf>
    <xf numFmtId="0" fontId="0" fillId="7" borderId="44" xfId="0" applyFill="1" applyBorder="1" applyAlignment="1">
      <alignment horizontal="center" vertical="top"/>
    </xf>
    <xf numFmtId="0" fontId="0" fillId="7" borderId="27" xfId="0" applyFill="1" applyBorder="1" applyAlignment="1">
      <alignment horizontal="center" vertical="top"/>
    </xf>
    <xf numFmtId="0" fontId="0" fillId="14" borderId="0" xfId="0" applyFill="1" applyBorder="1" applyAlignment="1">
      <alignment horizontal="center" vertical="top"/>
    </xf>
    <xf numFmtId="0" fontId="0" fillId="14" borderId="21" xfId="0" applyFill="1" applyBorder="1" applyAlignment="1">
      <alignment horizontal="center" vertical="top"/>
    </xf>
    <xf numFmtId="0" fontId="0" fillId="7" borderId="45" xfId="0" applyFill="1" applyBorder="1" applyAlignment="1">
      <alignment horizontal="center" vertical="top"/>
    </xf>
    <xf numFmtId="0" fontId="0" fillId="14" borderId="22" xfId="0" applyFill="1" applyBorder="1" applyAlignment="1">
      <alignment horizontal="center" vertical="top"/>
    </xf>
    <xf numFmtId="0" fontId="0" fillId="14" borderId="23" xfId="0" applyFill="1" applyBorder="1" applyAlignment="1">
      <alignment horizontal="center" vertical="top"/>
    </xf>
    <xf numFmtId="0" fontId="0" fillId="7" borderId="30" xfId="0" applyFill="1" applyBorder="1" applyAlignment="1">
      <alignment horizontal="center" vertical="top"/>
    </xf>
    <xf numFmtId="0" fontId="0" fillId="14" borderId="20" xfId="0" applyFill="1" applyBorder="1" applyAlignment="1">
      <alignment horizontal="center" vertical="top"/>
    </xf>
    <xf numFmtId="0" fontId="4" fillId="7" borderId="44" xfId="0" applyFont="1" applyFill="1" applyBorder="1" applyAlignment="1">
      <alignment horizontal="center" vertical="top"/>
    </xf>
    <xf numFmtId="0" fontId="0" fillId="14" borderId="45" xfId="0" applyFill="1" applyBorder="1" applyAlignment="1">
      <alignment horizontal="center" vertical="top"/>
    </xf>
    <xf numFmtId="0" fontId="0" fillId="14" borderId="30" xfId="0" applyFill="1" applyBorder="1" applyAlignment="1">
      <alignment horizontal="center" vertical="top"/>
    </xf>
    <xf numFmtId="0" fontId="3" fillId="7" borderId="27" xfId="0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7" borderId="15" xfId="0" applyFill="1" applyBorder="1" applyAlignment="1">
      <alignment horizontal="center" vertical="top"/>
    </xf>
    <xf numFmtId="0" fontId="4" fillId="7" borderId="15" xfId="0" applyFont="1" applyFill="1" applyBorder="1" applyAlignment="1">
      <alignment horizontal="center" vertical="top"/>
    </xf>
    <xf numFmtId="0" fontId="3" fillId="7" borderId="30" xfId="0" applyFont="1" applyFill="1" applyBorder="1" applyAlignment="1">
      <alignment horizontal="center" vertical="top"/>
    </xf>
    <xf numFmtId="0" fontId="0" fillId="14" borderId="4" xfId="0" applyFill="1" applyBorder="1" applyAlignment="1">
      <alignment horizontal="center" vertical="top"/>
    </xf>
    <xf numFmtId="0" fontId="4" fillId="14" borderId="4" xfId="0" applyFont="1" applyFill="1" applyBorder="1" applyAlignment="1">
      <alignment horizontal="center" vertical="top"/>
    </xf>
    <xf numFmtId="0" fontId="0" fillId="14" borderId="5" xfId="0" applyFill="1" applyBorder="1" applyAlignment="1">
      <alignment horizontal="center" vertical="top"/>
    </xf>
    <xf numFmtId="0" fontId="4" fillId="14" borderId="0" xfId="0" applyFont="1" applyFill="1" applyAlignment="1">
      <alignment horizontal="center" vertical="top"/>
    </xf>
    <xf numFmtId="0" fontId="4" fillId="14" borderId="0" xfId="0" applyFont="1" applyFill="1" applyAlignment="1">
      <alignment horizontal="left" vertical="top"/>
    </xf>
    <xf numFmtId="0" fontId="5" fillId="4" borderId="0" xfId="0" applyFont="1" applyFill="1" applyBorder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Border="1" applyAlignment="1"/>
    <xf numFmtId="0" fontId="25" fillId="4" borderId="0" xfId="0" applyFont="1" applyFill="1" applyAlignment="1"/>
    <xf numFmtId="0" fontId="0" fillId="12" borderId="0" xfId="0" applyFill="1" applyAlignment="1"/>
    <xf numFmtId="0" fontId="0" fillId="10" borderId="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13" xfId="0" applyFill="1" applyBorder="1" applyAlignment="1"/>
    <xf numFmtId="0" fontId="3" fillId="29" borderId="16" xfId="0" applyFont="1" applyFill="1" applyBorder="1" applyAlignment="1"/>
    <xf numFmtId="165" fontId="3" fillId="29" borderId="0" xfId="0" applyNumberFormat="1" applyFont="1" applyFill="1" applyBorder="1" applyAlignment="1"/>
    <xf numFmtId="0" fontId="3" fillId="29" borderId="0" xfId="0" applyFont="1" applyFill="1" applyBorder="1" applyAlignment="1"/>
    <xf numFmtId="0" fontId="0" fillId="7" borderId="0" xfId="0" applyFill="1" applyAlignment="1">
      <alignment horizontal="left" vertical="top"/>
    </xf>
    <xf numFmtId="0" fontId="3" fillId="7" borderId="17" xfId="0" applyFont="1" applyFill="1" applyBorder="1" applyAlignment="1">
      <alignment horizontal="center" vertical="top"/>
    </xf>
    <xf numFmtId="0" fontId="0" fillId="15" borderId="33" xfId="0" applyFill="1" applyBorder="1" applyAlignment="1">
      <alignment horizontal="center" vertical="top"/>
    </xf>
    <xf numFmtId="0" fontId="0" fillId="7" borderId="34" xfId="0" applyFill="1" applyBorder="1" applyAlignment="1">
      <alignment horizontal="center" vertical="top"/>
    </xf>
    <xf numFmtId="0" fontId="3" fillId="7" borderId="0" xfId="0" applyFont="1" applyFill="1">
      <alignment vertical="top"/>
    </xf>
    <xf numFmtId="0" fontId="0" fillId="8" borderId="2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3" fillId="7" borderId="16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horizontal="center" vertical="top"/>
    </xf>
    <xf numFmtId="0" fontId="0" fillId="0" borderId="0" xfId="0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0" fillId="7" borderId="0" xfId="0" applyFill="1" applyAlignment="1">
      <alignment horizontal="center" vertical="top"/>
    </xf>
    <xf numFmtId="0" fontId="0" fillId="22" borderId="0" xfId="0" applyFill="1" applyAlignment="1"/>
    <xf numFmtId="165" fontId="0" fillId="22" borderId="21" xfId="0" applyNumberFormat="1" applyFill="1" applyBorder="1" applyAlignment="1"/>
    <xf numFmtId="165" fontId="0" fillId="22" borderId="23" xfId="0" applyNumberFormat="1" applyFill="1" applyBorder="1" applyAlignment="1"/>
    <xf numFmtId="165" fontId="0" fillId="22" borderId="15" xfId="0" applyNumberFormat="1" applyFill="1" applyBorder="1" applyAlignment="1"/>
    <xf numFmtId="165" fontId="0" fillId="20" borderId="21" xfId="0" applyNumberFormat="1" applyFill="1" applyBorder="1" applyAlignment="1"/>
    <xf numFmtId="165" fontId="0" fillId="20" borderId="16" xfId="0" applyNumberFormat="1" applyFill="1" applyBorder="1" applyAlignment="1"/>
    <xf numFmtId="0" fontId="4" fillId="20" borderId="17" xfId="0" applyFont="1" applyFill="1" applyBorder="1" applyAlignment="1"/>
    <xf numFmtId="165" fontId="0" fillId="20" borderId="23" xfId="0" applyNumberFormat="1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0" fillId="8" borderId="34" xfId="0" applyFill="1" applyBorder="1" applyAlignment="1">
      <alignment horizontal="center" vertical="top"/>
    </xf>
    <xf numFmtId="0" fontId="0" fillId="7" borderId="35" xfId="0" applyFill="1" applyBorder="1" applyAlignment="1">
      <alignment horizontal="center" vertical="top"/>
    </xf>
    <xf numFmtId="0" fontId="0" fillId="15" borderId="64" xfId="0" applyFill="1" applyBorder="1" applyAlignment="1">
      <alignment horizontal="center" vertical="top"/>
    </xf>
    <xf numFmtId="0" fontId="0" fillId="7" borderId="65" xfId="0" applyFill="1" applyBorder="1" applyAlignment="1">
      <alignment horizontal="center" vertical="top"/>
    </xf>
    <xf numFmtId="0" fontId="0" fillId="15" borderId="39" xfId="0" applyFill="1" applyBorder="1" applyAlignment="1">
      <alignment horizontal="center" vertical="top"/>
    </xf>
    <xf numFmtId="0" fontId="0" fillId="7" borderId="40" xfId="0" applyFill="1" applyBorder="1" applyAlignment="1">
      <alignment horizontal="center" vertical="top"/>
    </xf>
    <xf numFmtId="0" fontId="0" fillId="8" borderId="40" xfId="0" applyFill="1" applyBorder="1" applyAlignment="1">
      <alignment horizontal="center" vertical="top"/>
    </xf>
    <xf numFmtId="0" fontId="0" fillId="7" borderId="41" xfId="0" applyFill="1" applyBorder="1" applyAlignment="1">
      <alignment horizontal="center" vertical="top"/>
    </xf>
    <xf numFmtId="0" fontId="3" fillId="17" borderId="3" xfId="0" applyFont="1" applyFill="1" applyBorder="1" applyAlignment="1"/>
    <xf numFmtId="0" fontId="0" fillId="0" borderId="2" xfId="0" applyBorder="1" applyAlignment="1"/>
    <xf numFmtId="165" fontId="0" fillId="21" borderId="2" xfId="0" applyNumberFormat="1" applyFill="1" applyBorder="1" applyAlignment="1"/>
    <xf numFmtId="166" fontId="0" fillId="23" borderId="40" xfId="0" applyNumberFormat="1" applyFill="1" applyBorder="1" applyAlignment="1"/>
    <xf numFmtId="0" fontId="3" fillId="17" borderId="12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165" fontId="0" fillId="7" borderId="27" xfId="0" applyNumberFormat="1" applyFill="1" applyBorder="1" applyAlignment="1">
      <alignment horizontal="center" vertical="top"/>
    </xf>
    <xf numFmtId="165" fontId="0" fillId="7" borderId="45" xfId="0" applyNumberFormat="1" applyFill="1" applyBorder="1" applyAlignment="1">
      <alignment horizontal="center" vertical="top"/>
    </xf>
    <xf numFmtId="165" fontId="0" fillId="7" borderId="30" xfId="0" applyNumberFormat="1" applyFill="1" applyBorder="1" applyAlignment="1">
      <alignment horizontal="center" vertical="top"/>
    </xf>
    <xf numFmtId="165" fontId="4" fillId="20" borderId="16" xfId="0" applyNumberFormat="1" applyFont="1" applyFill="1" applyBorder="1" applyAlignment="1"/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/>
    <xf numFmtId="0" fontId="6" fillId="4" borderId="9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12" borderId="6" xfId="0" applyFont="1" applyFill="1" applyBorder="1" applyAlignment="1"/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2" borderId="0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3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echa 2" xfId="8" xr:uid="{00000000-0005-0000-0000-000003000000}"/>
    <cellStyle name="Fijo" xfId="4" xr:uid="{00000000-0005-0000-0000-000004000000}"/>
    <cellStyle name="Fijo 2" xfId="9" xr:uid="{00000000-0005-0000-0000-000005000000}"/>
    <cellStyle name="Moneda0" xfId="5" xr:uid="{00000000-0005-0000-0000-000006000000}"/>
    <cellStyle name="Moneda0 2" xfId="10" xr:uid="{00000000-0005-0000-0000-000007000000}"/>
    <cellStyle name="Normal" xfId="0" builtinId="0"/>
    <cellStyle name="Punto0" xfId="6" xr:uid="{00000000-0005-0000-0000-000009000000}"/>
    <cellStyle name="Punto0 2" xfId="11" xr:uid="{00000000-0005-0000-0000-00000A000000}"/>
    <cellStyle name="Total" xfId="7" builtinId="25" customBuiltin="1"/>
    <cellStyle name="Total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6B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 b="1" i="0" baseline="0">
                <a:effectLst/>
              </a:rPr>
              <a:t>Distribución de las ganancias térmicas diarias</a:t>
            </a:r>
            <a:endParaRPr lang="es-AR" sz="11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1100"/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998-475B-B5C1-DBE7A5E1A821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5011.6000999999997</c:v>
                </c:pt>
                <c:pt idx="1">
                  <c:v>6678.45</c:v>
                </c:pt>
                <c:pt idx="2">
                  <c:v>1171.8595296000015</c:v>
                </c:pt>
                <c:pt idx="3">
                  <c:v>5220.8206511999997</c:v>
                </c:pt>
                <c:pt idx="4">
                  <c:v>482.99783336154053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8-475B-B5C1-DBE7A5E1A821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20-4A2D-BD3D-741942217FA4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720-4A2D-BD3D-741942217FA4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720-4A2D-BD3D-741942217FA4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20-4A2D-BD3D-741942217FA4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720-4A2D-BD3D-741942217FA4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720-4A2D-BD3D-741942217FA4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720-4A2D-BD3D-741942217FA4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720-4A2D-BD3D-741942217FA4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0.12656673138494615</c:v>
                </c:pt>
                <c:pt idx="1">
                  <c:v>0.16866261679933195</c:v>
                </c:pt>
                <c:pt idx="2">
                  <c:v>2.9595025010828929E-2</c:v>
                </c:pt>
                <c:pt idx="3">
                  <c:v>0.13185054509225708</c:v>
                </c:pt>
                <c:pt idx="4">
                  <c:v>1.2197991821929505E-2</c:v>
                </c:pt>
                <c:pt idx="5">
                  <c:v>0.24499071867636302</c:v>
                </c:pt>
                <c:pt idx="6">
                  <c:v>3.1113857840782962E-2</c:v>
                </c:pt>
                <c:pt idx="7">
                  <c:v>0.25502251337356036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98-475B-B5C1-DBE7A5E1A8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076672"/>
        <c:axId val="142492224"/>
      </c:barChart>
      <c:catAx>
        <c:axId val="900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249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49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90076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31173264442141"/>
          <c:y val="0.11541920761388504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22.363100000000003</c:v>
                </c:pt>
                <c:pt idx="1">
                  <c:v>21.030950000000001</c:v>
                </c:pt>
                <c:pt idx="2">
                  <c:v>19.698800000000002</c:v>
                </c:pt>
                <c:pt idx="3">
                  <c:v>18.8</c:v>
                </c:pt>
                <c:pt idx="4">
                  <c:v>20.58155</c:v>
                </c:pt>
                <c:pt idx="5">
                  <c:v>28.157150000000001</c:v>
                </c:pt>
                <c:pt idx="6">
                  <c:v>32.619050000000001</c:v>
                </c:pt>
                <c:pt idx="7">
                  <c:v>34.85</c:v>
                </c:pt>
                <c:pt idx="8">
                  <c:v>33.517850000000003</c:v>
                </c:pt>
                <c:pt idx="9">
                  <c:v>29.938700000000001</c:v>
                </c:pt>
                <c:pt idx="10">
                  <c:v>25.926200000000001</c:v>
                </c:pt>
                <c:pt idx="11">
                  <c:v>23.759450000000001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B-45BE-AC5F-686EA6427230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23.355607919763251</c:v>
                </c:pt>
                <c:pt idx="1">
                  <c:v>22.74523216841186</c:v>
                </c:pt>
                <c:pt idx="2">
                  <c:v>21.870417034083736</c:v>
                </c:pt>
                <c:pt idx="3">
                  <c:v>20.926595854040674</c:v>
                </c:pt>
                <c:pt idx="4">
                  <c:v>20.58155</c:v>
                </c:pt>
                <c:pt idx="5">
                  <c:v>20.958225652491898</c:v>
                </c:pt>
                <c:pt idx="6">
                  <c:v>21.66591813483765</c:v>
                </c:pt>
                <c:pt idx="7">
                  <c:v>22.209735523639189</c:v>
                </c:pt>
                <c:pt idx="8">
                  <c:v>22.667277658060222</c:v>
                </c:pt>
                <c:pt idx="9">
                  <c:v>23.101549244716484</c:v>
                </c:pt>
                <c:pt idx="10">
                  <c:v>23.482933734568725</c:v>
                </c:pt>
                <c:pt idx="11">
                  <c:v>23.952610620820405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B-45BE-AC5F-686EA642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28832"/>
        <c:axId val="135107648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-3189.3364561899994</c:v>
                </c:pt>
                <c:pt idx="1">
                  <c:v>-5652.550530259372</c:v>
                </c:pt>
                <c:pt idx="2">
                  <c:v>-8101.4633043287358</c:v>
                </c:pt>
                <c:pt idx="3">
                  <c:v>-8740.5125447899991</c:v>
                </c:pt>
                <c:pt idx="4">
                  <c:v>-4736.5946252900021</c:v>
                </c:pt>
                <c:pt idx="5">
                  <c:v>3488.3072509266822</c:v>
                </c:pt>
                <c:pt idx="6">
                  <c:v>6553.7785658872272</c:v>
                </c:pt>
                <c:pt idx="7">
                  <c:v>5036.1687249674997</c:v>
                </c:pt>
                <c:pt idx="8">
                  <c:v>4237.1932843195682</c:v>
                </c:pt>
                <c:pt idx="9">
                  <c:v>4021.6900523907843</c:v>
                </c:pt>
                <c:pt idx="10">
                  <c:v>3531.91471904641</c:v>
                </c:pt>
                <c:pt idx="11">
                  <c:v>4349.5704515694542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B-45BE-AC5F-686EA642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29856"/>
        <c:axId val="142381568"/>
      </c:lineChart>
      <c:catAx>
        <c:axId val="11192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3510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11928832"/>
        <c:crosses val="autoZero"/>
        <c:crossBetween val="between"/>
      </c:valAx>
      <c:catAx>
        <c:axId val="11192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381568"/>
        <c:crosses val="autoZero"/>
        <c:auto val="1"/>
        <c:lblAlgn val="ctr"/>
        <c:lblOffset val="100"/>
        <c:noMultiLvlLbl val="0"/>
      </c:catAx>
      <c:valAx>
        <c:axId val="142381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11929856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Pérdidas de calor </a:t>
            </a:r>
          </a:p>
          <a:p>
            <a:pPr>
              <a:defRPr/>
            </a:pPr>
            <a:r>
              <a:rPr lang="es-AR"/>
              <a:t>por cada elemento</a:t>
            </a:r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79624769126082"/>
          <c:y val="0.22771653543307085"/>
          <c:w val="0.61737694825183886"/>
          <c:h val="0.61737694825183886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Resumen!$B$21:$B$28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Infiltración</c:v>
                </c:pt>
              </c:strCache>
            </c:strRef>
          </c:cat>
          <c:val>
            <c:numRef>
              <c:f>Resumen!$C$21:$C$28</c:f>
              <c:numCache>
                <c:formatCode>0.0</c:formatCode>
                <c:ptCount val="8"/>
                <c:pt idx="0">
                  <c:v>21.329045114940396</c:v>
                </c:pt>
                <c:pt idx="1">
                  <c:v>4.4426872097662402</c:v>
                </c:pt>
                <c:pt idx="2">
                  <c:v>19.889568892953474</c:v>
                </c:pt>
                <c:pt idx="3">
                  <c:v>0</c:v>
                </c:pt>
                <c:pt idx="4">
                  <c:v>6.583378954533603</c:v>
                </c:pt>
                <c:pt idx="5">
                  <c:v>5.2809197626981366</c:v>
                </c:pt>
                <c:pt idx="6">
                  <c:v>23.678757461267121</c:v>
                </c:pt>
                <c:pt idx="7">
                  <c:v>18.795642603841035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C-4A45-BF05-98C5DBC278A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0776077032503384"/>
          <c:y val="2.613585615230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4614358149844"/>
          <c:y val="0.19047009049241978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5011.6000999999997</c:v>
                </c:pt>
                <c:pt idx="1">
                  <c:v>6678.45</c:v>
                </c:pt>
                <c:pt idx="2">
                  <c:v>1171.8595296000015</c:v>
                </c:pt>
                <c:pt idx="3">
                  <c:v>5220.8206511999997</c:v>
                </c:pt>
                <c:pt idx="4">
                  <c:v>482.99783336154053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58-46B1-B43A-371E04115283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158-46B1-B43A-371E04115283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158-46B1-B43A-371E04115283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158-46B1-B43A-371E04115283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158-46B1-B43A-371E04115283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158-46B1-B43A-371E04115283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158-46B1-B43A-371E04115283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158-46B1-B43A-371E04115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0.12656673138494615</c:v>
                </c:pt>
                <c:pt idx="1">
                  <c:v>0.16866261679933195</c:v>
                </c:pt>
                <c:pt idx="2">
                  <c:v>2.9595025010828929E-2</c:v>
                </c:pt>
                <c:pt idx="3">
                  <c:v>0.13185054509225708</c:v>
                </c:pt>
                <c:pt idx="4">
                  <c:v>1.2197991821929505E-2</c:v>
                </c:pt>
                <c:pt idx="5">
                  <c:v>0.24499071867636302</c:v>
                </c:pt>
                <c:pt idx="6">
                  <c:v>3.1113857840782962E-2</c:v>
                </c:pt>
                <c:pt idx="7">
                  <c:v>0.25502251337356036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582144"/>
        <c:axId val="144692288"/>
      </c:barChart>
      <c:catAx>
        <c:axId val="1125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46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6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3.2347786639698693E-2"/>
              <c:y val="0.21416304305245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12582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2" val="0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772239" y="5819775"/>
          <a:ext cx="27145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44896" y="4489433"/>
          <a:ext cx="1894679" cy="14160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283</xdr:row>
      <xdr:rowOff>9525</xdr:rowOff>
    </xdr:from>
    <xdr:to>
      <xdr:col>7</xdr:col>
      <xdr:colOff>571500</xdr:colOff>
      <xdr:row>303</xdr:row>
      <xdr:rowOff>95251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88</xdr:row>
      <xdr:rowOff>123825</xdr:rowOff>
    </xdr:from>
    <xdr:to>
      <xdr:col>31</xdr:col>
      <xdr:colOff>333375</xdr:colOff>
      <xdr:row>103</xdr:row>
      <xdr:rowOff>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4494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29</xdr:col>
      <xdr:colOff>619125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361950</xdr:colOff>
      <xdr:row>165</xdr:row>
      <xdr:rowOff>133350</xdr:rowOff>
    </xdr:from>
    <xdr:to>
      <xdr:col>30</xdr:col>
      <xdr:colOff>514350</xdr:colOff>
      <xdr:row>190</xdr:row>
      <xdr:rowOff>66675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8658225" y="27003375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447674</xdr:colOff>
      <xdr:row>193</xdr:row>
      <xdr:rowOff>133350</xdr:rowOff>
    </xdr:from>
    <xdr:to>
      <xdr:col>31</xdr:col>
      <xdr:colOff>466725</xdr:colOff>
      <xdr:row>245</xdr:row>
      <xdr:rowOff>132945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49" y="18402300"/>
          <a:ext cx="3943351" cy="84673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15225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23</xdr:row>
      <xdr:rowOff>28575</xdr:rowOff>
    </xdr:from>
    <xdr:to>
      <xdr:col>15</xdr:col>
      <xdr:colOff>314325</xdr:colOff>
      <xdr:row>42</xdr:row>
      <xdr:rowOff>142875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762625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16</xdr:row>
      <xdr:rowOff>28575</xdr:rowOff>
    </xdr:from>
    <xdr:to>
      <xdr:col>7</xdr:col>
      <xdr:colOff>590550</xdr:colOff>
      <xdr:row>35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61</xdr:row>
      <xdr:rowOff>66675</xdr:rowOff>
    </xdr:from>
    <xdr:to>
      <xdr:col>7</xdr:col>
      <xdr:colOff>120651</xdr:colOff>
      <xdr:row>77</xdr:row>
      <xdr:rowOff>28575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U%20UM\catedra\Catedra%202022\Programas%20Balance%20Termico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/>
      <sheetData sheetId="1">
        <row r="24">
          <cell r="C24">
            <v>2.0597388316151202</v>
          </cell>
          <cell r="E24">
            <v>0</v>
          </cell>
        </row>
        <row r="28">
          <cell r="E28">
            <v>0</v>
          </cell>
        </row>
      </sheetData>
      <sheetData sheetId="2"/>
      <sheetData sheetId="3"/>
      <sheetData sheetId="4"/>
      <sheetData sheetId="5">
        <row r="235">
          <cell r="E235" t="str">
            <v>W</v>
          </cell>
        </row>
        <row r="236">
          <cell r="E236" t="str">
            <v>frig./hora</v>
          </cell>
        </row>
        <row r="237">
          <cell r="E237" t="str">
            <v>Ton.refrig.</v>
          </cell>
        </row>
      </sheetData>
      <sheetData sheetId="6"/>
      <sheetData sheetId="7">
        <row r="25">
          <cell r="I25">
            <v>26.6</v>
          </cell>
        </row>
        <row r="37">
          <cell r="I37">
            <v>21.336916647144413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5"/>
  <sheetViews>
    <sheetView tabSelected="1" workbookViewId="0">
      <selection activeCell="D18" sqref="D18"/>
    </sheetView>
  </sheetViews>
  <sheetFormatPr baseColWidth="10" defaultColWidth="9.140625" defaultRowHeight="12.75"/>
  <cols>
    <col min="1" max="1" width="20.5703125" customWidth="1"/>
    <col min="2" max="2" width="19.42578125" customWidth="1"/>
    <col min="3" max="3" width="20.5703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9" max="9" width="25.7109375" customWidth="1"/>
  </cols>
  <sheetData>
    <row r="1" spans="1:11">
      <c r="A1" s="1" t="s">
        <v>272</v>
      </c>
    </row>
    <row r="2" spans="1:11">
      <c r="A2" s="1" t="s">
        <v>2</v>
      </c>
    </row>
    <row r="6" spans="1:11" ht="19.5" customHeight="1">
      <c r="A6" s="1" t="s">
        <v>273</v>
      </c>
      <c r="C6" s="449" t="s">
        <v>622</v>
      </c>
      <c r="D6" s="449" t="s">
        <v>625</v>
      </c>
      <c r="E6" s="449" t="s">
        <v>431</v>
      </c>
      <c r="F6" s="449" t="s">
        <v>623</v>
      </c>
      <c r="G6" s="449" t="s">
        <v>624</v>
      </c>
    </row>
    <row r="7" spans="1:11">
      <c r="C7" s="446" t="s">
        <v>627</v>
      </c>
      <c r="D7" s="446" t="s">
        <v>627</v>
      </c>
      <c r="E7" s="447" t="s">
        <v>637</v>
      </c>
      <c r="F7" s="447" t="s">
        <v>638</v>
      </c>
      <c r="G7" s="447" t="s">
        <v>639</v>
      </c>
    </row>
    <row r="8" spans="1:11">
      <c r="C8" s="446" t="s">
        <v>628</v>
      </c>
      <c r="D8" s="446" t="s">
        <v>628</v>
      </c>
      <c r="E8" s="447" t="s">
        <v>640</v>
      </c>
      <c r="F8" s="447" t="s">
        <v>641</v>
      </c>
      <c r="G8" s="447" t="s">
        <v>642</v>
      </c>
    </row>
    <row r="9" spans="1:11">
      <c r="C9" s="446" t="s">
        <v>629</v>
      </c>
      <c r="D9" s="446" t="s">
        <v>629</v>
      </c>
      <c r="E9" s="447" t="s">
        <v>643</v>
      </c>
      <c r="F9" s="447" t="s">
        <v>644</v>
      </c>
      <c r="G9" s="447" t="s">
        <v>645</v>
      </c>
    </row>
    <row r="10" spans="1:11">
      <c r="C10" s="446" t="s">
        <v>630</v>
      </c>
      <c r="D10" s="446" t="s">
        <v>630</v>
      </c>
      <c r="E10" s="447" t="s">
        <v>646</v>
      </c>
      <c r="F10" s="447" t="s">
        <v>647</v>
      </c>
      <c r="G10" s="447" t="s">
        <v>648</v>
      </c>
    </row>
    <row r="11" spans="1:11">
      <c r="A11" s="246"/>
      <c r="B11" s="242"/>
      <c r="C11" s="446" t="s">
        <v>631</v>
      </c>
      <c r="D11" s="446" t="s">
        <v>631</v>
      </c>
      <c r="E11" s="447" t="s">
        <v>649</v>
      </c>
      <c r="F11" s="447" t="s">
        <v>650</v>
      </c>
      <c r="G11" s="447" t="s">
        <v>651</v>
      </c>
      <c r="H11" s="242"/>
      <c r="I11" s="242"/>
      <c r="J11" s="242"/>
      <c r="K11" s="242"/>
    </row>
    <row r="12" spans="1:11">
      <c r="C12" s="446" t="s">
        <v>632</v>
      </c>
      <c r="D12" s="446" t="s">
        <v>632</v>
      </c>
      <c r="E12" s="447" t="s">
        <v>652</v>
      </c>
      <c r="F12" s="447" t="s">
        <v>653</v>
      </c>
      <c r="G12" s="447" t="s">
        <v>651</v>
      </c>
    </row>
    <row r="13" spans="1:11">
      <c r="C13" s="448" t="s">
        <v>633</v>
      </c>
      <c r="D13" s="448" t="s">
        <v>633</v>
      </c>
      <c r="E13" s="447" t="s">
        <v>654</v>
      </c>
      <c r="F13" s="447" t="s">
        <v>655</v>
      </c>
      <c r="G13" s="447" t="s">
        <v>656</v>
      </c>
    </row>
    <row r="14" spans="1:11">
      <c r="C14" s="447" t="s">
        <v>626</v>
      </c>
      <c r="D14" s="447" t="s">
        <v>260</v>
      </c>
      <c r="E14" s="447" t="s">
        <v>657</v>
      </c>
      <c r="F14" s="447" t="s">
        <v>658</v>
      </c>
      <c r="G14" s="447" t="s">
        <v>648</v>
      </c>
    </row>
    <row r="16" spans="1:11" ht="13.5" thickBot="1"/>
    <row r="17" spans="1:11">
      <c r="C17" s="451" t="s">
        <v>659</v>
      </c>
      <c r="D17" s="452" t="s">
        <v>704</v>
      </c>
      <c r="E17" s="453"/>
      <c r="F17" s="453"/>
      <c r="G17" s="454"/>
    </row>
    <row r="18" spans="1:11" ht="13.5" thickBot="1">
      <c r="C18" s="455" t="s">
        <v>660</v>
      </c>
      <c r="D18" s="456"/>
      <c r="E18" s="456"/>
      <c r="F18" s="456"/>
      <c r="G18" s="457"/>
    </row>
    <row r="25" spans="1:11">
      <c r="A25" s="246"/>
      <c r="B25" s="242"/>
      <c r="C25" s="242"/>
      <c r="D25" s="242"/>
      <c r="E25" s="242"/>
      <c r="F25" s="242"/>
      <c r="G25" s="242"/>
      <c r="H25" s="242"/>
      <c r="I25" s="242"/>
      <c r="J25" s="242"/>
      <c r="K25" s="242"/>
    </row>
    <row r="26" spans="1:11">
      <c r="A26" s="246"/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spans="1:11">
      <c r="A27" s="246"/>
      <c r="B27" s="242"/>
      <c r="C27" s="242"/>
      <c r="D27" s="242"/>
      <c r="E27" s="242"/>
      <c r="F27" s="242"/>
      <c r="G27" s="242"/>
      <c r="H27" s="242"/>
      <c r="I27" s="242"/>
      <c r="J27" s="242"/>
      <c r="K27" s="242"/>
    </row>
    <row r="28" spans="1:11">
      <c r="A28" s="246"/>
      <c r="B28" s="242"/>
      <c r="C28" s="242"/>
      <c r="D28" s="242"/>
      <c r="E28" s="242"/>
      <c r="F28" s="242"/>
      <c r="G28" s="242"/>
      <c r="H28" s="242"/>
      <c r="I28" s="242"/>
      <c r="J28" s="242"/>
      <c r="K28" s="242"/>
    </row>
    <row r="29" spans="1:11">
      <c r="A29" s="246"/>
      <c r="B29" s="242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1:11">
      <c r="A30" s="246"/>
      <c r="B30" s="242"/>
      <c r="C30" s="242"/>
      <c r="D30" s="242"/>
      <c r="E30" s="242"/>
      <c r="F30" s="242"/>
      <c r="G30" s="242"/>
      <c r="H30" s="242"/>
      <c r="I30" s="242"/>
      <c r="J30" s="242"/>
      <c r="K30" s="242"/>
    </row>
    <row r="31" spans="1:11">
      <c r="A31" s="246"/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spans="1:11">
      <c r="A32" s="246"/>
      <c r="B32" s="242"/>
      <c r="C32" s="242"/>
      <c r="D32" s="242"/>
      <c r="E32" s="242"/>
      <c r="F32" s="242"/>
      <c r="G32" s="242"/>
      <c r="H32" s="242"/>
      <c r="I32" s="242"/>
      <c r="J32" s="242"/>
      <c r="K32" s="242"/>
    </row>
    <row r="33" spans="1:11">
      <c r="A33" s="246"/>
      <c r="B33" s="242"/>
      <c r="C33" s="242"/>
      <c r="D33" s="242"/>
      <c r="E33" s="242"/>
      <c r="F33" s="242"/>
      <c r="G33" s="242"/>
      <c r="H33" s="242"/>
      <c r="I33" s="242"/>
      <c r="J33" s="242"/>
      <c r="K33" s="242"/>
    </row>
    <row r="34" spans="1:11">
      <c r="A34" s="246"/>
      <c r="B34" s="242"/>
      <c r="C34" s="242"/>
      <c r="D34" s="242"/>
      <c r="E34" s="242"/>
      <c r="F34" s="242"/>
      <c r="G34" s="242"/>
      <c r="H34" s="242"/>
      <c r="I34" s="242"/>
      <c r="J34" s="242"/>
      <c r="K34" s="242"/>
    </row>
    <row r="35" spans="1:11">
      <c r="A35" s="246"/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>
      <c r="A36" s="246"/>
      <c r="B36" s="242"/>
      <c r="C36" s="242"/>
      <c r="D36" s="242"/>
      <c r="E36" s="242"/>
      <c r="F36" s="242"/>
      <c r="G36" s="242"/>
      <c r="H36" s="242"/>
      <c r="I36" s="242"/>
      <c r="J36" s="242"/>
      <c r="K36" s="242"/>
    </row>
    <row r="37" spans="1:11">
      <c r="A37" s="246"/>
      <c r="B37" s="242"/>
      <c r="C37" s="242"/>
      <c r="D37" s="242"/>
      <c r="E37" s="242"/>
      <c r="F37" s="242"/>
      <c r="G37" s="242"/>
      <c r="H37" s="242"/>
      <c r="I37" s="242"/>
      <c r="J37" s="242"/>
      <c r="K37" s="242"/>
    </row>
    <row r="38" spans="1:11">
      <c r="A38" s="246"/>
      <c r="B38" s="242"/>
      <c r="C38" s="242"/>
      <c r="D38" s="242"/>
      <c r="E38" s="242"/>
      <c r="F38" s="242"/>
      <c r="G38" s="242"/>
      <c r="H38" s="242"/>
      <c r="I38" s="242"/>
      <c r="J38" s="242"/>
      <c r="K38" s="242"/>
    </row>
    <row r="39" spans="1:11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</row>
    <row r="40" spans="1:11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</row>
    <row r="41" spans="1:11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</row>
    <row r="42" spans="1:11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</row>
    <row r="43" spans="1:11">
      <c r="A43" s="246"/>
      <c r="B43" s="242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1:11">
      <c r="A44" s="246"/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spans="1:11">
      <c r="A45" s="246"/>
      <c r="B45" s="242"/>
      <c r="C45" s="242"/>
      <c r="D45" s="242"/>
      <c r="E45" s="242"/>
      <c r="F45" s="242"/>
      <c r="G45" s="242"/>
      <c r="H45" s="242"/>
      <c r="I45" s="242"/>
      <c r="J45" s="242"/>
      <c r="K45" s="242"/>
    </row>
    <row r="46" spans="1:11">
      <c r="A46" s="246"/>
      <c r="B46" s="242"/>
      <c r="C46" s="242"/>
      <c r="D46" s="242"/>
      <c r="E46" s="242"/>
      <c r="F46" s="242"/>
      <c r="G46" s="242"/>
      <c r="H46" s="242"/>
      <c r="I46" s="242"/>
      <c r="J46" s="242"/>
      <c r="K46" s="242"/>
    </row>
    <row r="47" spans="1:11">
      <c r="A47" s="242"/>
      <c r="B47" s="242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1:11">
      <c r="A48" s="242"/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>
      <c r="A49" s="242"/>
      <c r="B49" s="242"/>
      <c r="C49" s="242"/>
      <c r="D49" s="242"/>
      <c r="E49" s="242"/>
      <c r="F49" s="242"/>
      <c r="G49" s="242"/>
      <c r="H49" s="242"/>
      <c r="I49" s="242"/>
      <c r="J49" s="242"/>
      <c r="K49" s="242"/>
    </row>
    <row r="50" spans="1:11">
      <c r="A50" s="242"/>
      <c r="B50" s="242"/>
      <c r="C50" s="242"/>
      <c r="D50" s="242"/>
      <c r="E50" s="242"/>
      <c r="F50" s="242"/>
      <c r="G50" s="242"/>
      <c r="H50" s="242"/>
      <c r="I50" s="242"/>
      <c r="J50" s="242"/>
      <c r="K50" s="242"/>
    </row>
    <row r="51" spans="1:11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>
      <c r="A52" s="242"/>
      <c r="B52" s="242"/>
      <c r="C52" s="242"/>
      <c r="D52" s="242"/>
      <c r="E52" s="242"/>
      <c r="F52" s="242"/>
      <c r="G52" s="242"/>
      <c r="H52" s="242"/>
      <c r="I52" s="242"/>
      <c r="J52" s="242"/>
      <c r="K52" s="242"/>
    </row>
    <row r="62" spans="1:11" ht="13.5" thickBot="1"/>
    <row r="63" spans="1:11">
      <c r="B63" s="5" t="s">
        <v>86</v>
      </c>
      <c r="C63" s="436" t="s">
        <v>87</v>
      </c>
      <c r="D63" s="438" t="s">
        <v>339</v>
      </c>
      <c r="E63" s="439" t="s">
        <v>431</v>
      </c>
      <c r="F63" s="440" t="s">
        <v>432</v>
      </c>
      <c r="G63" s="439" t="s">
        <v>475</v>
      </c>
      <c r="H63" s="440"/>
    </row>
    <row r="64" spans="1:11" ht="13.5" thickBot="1">
      <c r="B64" s="138"/>
      <c r="C64" s="437" t="s">
        <v>88</v>
      </c>
      <c r="D64" s="441" t="s">
        <v>340</v>
      </c>
      <c r="E64" s="442" t="s">
        <v>433</v>
      </c>
      <c r="F64" s="443" t="s">
        <v>344</v>
      </c>
      <c r="G64" s="442" t="s">
        <v>476</v>
      </c>
      <c r="H64" s="443"/>
    </row>
    <row r="65" spans="1:9">
      <c r="A65" s="176">
        <v>1</v>
      </c>
      <c r="B65" s="332" t="s">
        <v>627</v>
      </c>
      <c r="C65" s="435">
        <v>1516</v>
      </c>
      <c r="D65" s="435">
        <v>10</v>
      </c>
      <c r="E65" s="435">
        <v>-34.5</v>
      </c>
      <c r="F65" s="435">
        <v>748</v>
      </c>
      <c r="G65" s="435">
        <v>45</v>
      </c>
      <c r="H65" s="435" t="s">
        <v>195</v>
      </c>
      <c r="I65" s="176"/>
    </row>
    <row r="66" spans="1:9">
      <c r="A66" s="176">
        <f t="shared" ref="A66:A72" si="0">+A65+1</f>
        <v>2</v>
      </c>
      <c r="B66" s="332" t="s">
        <v>628</v>
      </c>
      <c r="C66" s="435">
        <v>1631.2</v>
      </c>
      <c r="D66" s="435">
        <v>9</v>
      </c>
      <c r="E66" s="435">
        <v>-34.659999999999997</v>
      </c>
      <c r="F66" s="435">
        <v>692</v>
      </c>
      <c r="G66" s="435">
        <v>45</v>
      </c>
      <c r="H66" s="435" t="s">
        <v>195</v>
      </c>
      <c r="I66" s="176"/>
    </row>
    <row r="67" spans="1:9">
      <c r="A67" s="176">
        <f t="shared" si="0"/>
        <v>3</v>
      </c>
      <c r="B67" s="450" t="s">
        <v>634</v>
      </c>
      <c r="C67" s="435">
        <v>2595</v>
      </c>
      <c r="D67" s="435">
        <v>10</v>
      </c>
      <c r="E67" s="435">
        <v>-35.299999999999997</v>
      </c>
      <c r="F67" s="435">
        <v>1425</v>
      </c>
      <c r="G67" s="435">
        <v>45</v>
      </c>
      <c r="H67" s="435" t="s">
        <v>189</v>
      </c>
      <c r="I67" s="176"/>
    </row>
    <row r="68" spans="1:9">
      <c r="A68" s="176">
        <f t="shared" si="0"/>
        <v>4</v>
      </c>
      <c r="B68" s="332" t="s">
        <v>630</v>
      </c>
      <c r="C68" s="435">
        <v>2426</v>
      </c>
      <c r="D68" s="435">
        <v>6</v>
      </c>
      <c r="E68" s="435">
        <v>-35.869999999999997</v>
      </c>
      <c r="F68" s="435">
        <v>750</v>
      </c>
      <c r="G68" s="435">
        <v>45</v>
      </c>
      <c r="H68" s="435" t="s">
        <v>188</v>
      </c>
      <c r="I68" s="176"/>
    </row>
    <row r="69" spans="1:9">
      <c r="A69" s="176">
        <f t="shared" si="0"/>
        <v>5</v>
      </c>
      <c r="B69" s="332" t="s">
        <v>631</v>
      </c>
      <c r="C69" s="435">
        <v>1847</v>
      </c>
      <c r="D69" s="435">
        <v>7</v>
      </c>
      <c r="E69" s="435">
        <v>-33.729999999999997</v>
      </c>
      <c r="F69" s="435">
        <v>940</v>
      </c>
      <c r="G69" s="435">
        <v>0</v>
      </c>
      <c r="H69" s="435" t="s">
        <v>519</v>
      </c>
      <c r="I69" s="176"/>
    </row>
    <row r="70" spans="1:9">
      <c r="A70" s="176">
        <f t="shared" si="0"/>
        <v>6</v>
      </c>
      <c r="B70" s="332" t="s">
        <v>632</v>
      </c>
      <c r="C70" s="435">
        <v>2112.6999999999998</v>
      </c>
      <c r="D70" s="435">
        <v>6</v>
      </c>
      <c r="E70" s="435">
        <v>-33.76</v>
      </c>
      <c r="F70" s="435">
        <v>940</v>
      </c>
      <c r="G70" s="435">
        <v>0</v>
      </c>
      <c r="H70" s="435" t="s">
        <v>195</v>
      </c>
      <c r="I70" s="176"/>
    </row>
    <row r="71" spans="1:9">
      <c r="A71" s="176">
        <f t="shared" si="0"/>
        <v>7</v>
      </c>
      <c r="B71" s="332" t="s">
        <v>633</v>
      </c>
      <c r="C71" s="435">
        <v>1485</v>
      </c>
      <c r="D71" s="435">
        <v>8</v>
      </c>
      <c r="E71" s="435">
        <v>-35</v>
      </c>
      <c r="F71" s="435">
        <v>465</v>
      </c>
      <c r="G71" s="435">
        <v>45</v>
      </c>
      <c r="H71" s="435" t="s">
        <v>195</v>
      </c>
      <c r="I71" s="176"/>
    </row>
    <row r="72" spans="1:9">
      <c r="A72" s="176">
        <f t="shared" si="0"/>
        <v>8</v>
      </c>
      <c r="B72" s="332" t="s">
        <v>260</v>
      </c>
      <c r="C72" s="435">
        <v>1628</v>
      </c>
      <c r="D72" s="435">
        <v>8</v>
      </c>
      <c r="E72" s="444">
        <v>-33.299999999999997</v>
      </c>
      <c r="F72" s="444">
        <v>750</v>
      </c>
      <c r="G72" s="444">
        <v>0</v>
      </c>
      <c r="H72" s="445" t="s">
        <v>194</v>
      </c>
      <c r="I72" s="176"/>
    </row>
    <row r="73" spans="1:9">
      <c r="A73" s="243"/>
      <c r="B73" s="244"/>
      <c r="C73" s="245"/>
      <c r="D73" s="243"/>
    </row>
    <row r="74" spans="1:9">
      <c r="A74" s="243"/>
      <c r="B74" s="244"/>
      <c r="C74" s="245"/>
      <c r="D74" s="243"/>
    </row>
    <row r="75" spans="1:9">
      <c r="A75" s="243"/>
      <c r="B75" s="244"/>
      <c r="C75" s="245"/>
      <c r="D75" s="243"/>
    </row>
    <row r="76" spans="1:9">
      <c r="A76" s="243"/>
      <c r="B76" s="244"/>
      <c r="C76" s="245"/>
      <c r="D76" s="243"/>
    </row>
    <row r="77" spans="1:9">
      <c r="A77" s="243"/>
      <c r="B77" s="244"/>
      <c r="C77" s="245"/>
      <c r="D77" s="243"/>
    </row>
    <row r="78" spans="1:9">
      <c r="A78" s="243"/>
      <c r="B78" s="244"/>
      <c r="C78" s="245"/>
      <c r="D78" s="243"/>
    </row>
    <row r="79" spans="1:9">
      <c r="A79" s="243"/>
      <c r="B79" s="244"/>
      <c r="C79" s="245"/>
      <c r="D79" s="243"/>
    </row>
    <row r="80" spans="1:9">
      <c r="A80" s="243"/>
      <c r="B80" s="244"/>
      <c r="C80" s="245"/>
      <c r="D80" s="243"/>
    </row>
    <row r="81" spans="1:5">
      <c r="A81" s="243"/>
      <c r="B81" s="244"/>
      <c r="C81" s="245"/>
      <c r="D81" s="243"/>
    </row>
    <row r="82" spans="1:5">
      <c r="A82" s="243"/>
      <c r="B82" s="244"/>
      <c r="C82" s="245"/>
      <c r="D82" s="243"/>
    </row>
    <row r="83" spans="1:5">
      <c r="A83" s="243"/>
      <c r="B83" s="244"/>
      <c r="C83" s="245"/>
      <c r="D83" s="243"/>
    </row>
    <row r="84" spans="1:5">
      <c r="A84" s="243"/>
      <c r="B84" s="244"/>
      <c r="C84" s="245"/>
      <c r="D84" s="243"/>
      <c r="E84">
        <v>2</v>
      </c>
    </row>
    <row r="85" spans="1:5">
      <c r="A85" s="243"/>
      <c r="B85" s="243"/>
      <c r="C85" s="243"/>
      <c r="D85" s="243"/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/>
  <cols>
    <col min="2" max="2" width="12.28515625" bestFit="1" customWidth="1"/>
  </cols>
  <sheetData>
    <row r="1" spans="1:7">
      <c r="A1" s="115"/>
      <c r="B1" s="117" t="s">
        <v>289</v>
      </c>
      <c r="C1" s="28"/>
      <c r="D1" s="42" t="s">
        <v>288</v>
      </c>
      <c r="E1" s="116"/>
    </row>
    <row r="2" spans="1:7" ht="13.5" thickBot="1">
      <c r="A2" s="118" t="s">
        <v>76</v>
      </c>
      <c r="B2" s="121" t="s">
        <v>290</v>
      </c>
      <c r="C2" s="122" t="s">
        <v>291</v>
      </c>
      <c r="D2" s="119" t="s">
        <v>290</v>
      </c>
      <c r="E2" s="120" t="s">
        <v>291</v>
      </c>
    </row>
    <row r="3" spans="1:7">
      <c r="A3" s="123">
        <v>0.1</v>
      </c>
      <c r="B3" s="11">
        <v>140</v>
      </c>
      <c r="C3" s="19">
        <v>0.75</v>
      </c>
      <c r="D3" s="11">
        <v>27.7</v>
      </c>
      <c r="E3" s="19">
        <v>0.1</v>
      </c>
    </row>
    <row r="4" spans="1:7">
      <c r="A4" s="123">
        <v>0.2</v>
      </c>
      <c r="B4" s="11">
        <v>270</v>
      </c>
      <c r="C4" s="19">
        <v>1.5</v>
      </c>
      <c r="D4" s="11">
        <v>54.4</v>
      </c>
      <c r="E4" s="19">
        <v>0.2</v>
      </c>
    </row>
    <row r="5" spans="1:7">
      <c r="A5" s="123">
        <v>0.3</v>
      </c>
      <c r="B5" s="11">
        <v>410</v>
      </c>
      <c r="C5" s="19">
        <v>2.25</v>
      </c>
      <c r="D5" s="11">
        <v>81.7</v>
      </c>
      <c r="E5" s="19">
        <v>0.3</v>
      </c>
    </row>
    <row r="6" spans="1:7">
      <c r="A6" s="123">
        <v>0.4</v>
      </c>
      <c r="B6" s="11">
        <v>545</v>
      </c>
      <c r="C6" s="19">
        <v>3</v>
      </c>
      <c r="D6" s="11">
        <v>108.9</v>
      </c>
      <c r="E6" s="19">
        <v>0.4</v>
      </c>
    </row>
    <row r="7" spans="1:7">
      <c r="A7" s="123">
        <v>0.5</v>
      </c>
      <c r="B7" s="11">
        <v>680</v>
      </c>
      <c r="C7" s="19">
        <v>3.75</v>
      </c>
      <c r="D7" s="11">
        <v>136.19999999999999</v>
      </c>
      <c r="E7" s="19">
        <v>0.5</v>
      </c>
    </row>
    <row r="8" spans="1:7">
      <c r="A8" s="123">
        <v>0.6</v>
      </c>
      <c r="B8" s="11">
        <v>820</v>
      </c>
      <c r="C8" s="19">
        <v>4.5</v>
      </c>
      <c r="D8" s="11">
        <v>163.19999999999999</v>
      </c>
      <c r="E8" s="19">
        <v>0.6</v>
      </c>
    </row>
    <row r="9" spans="1:7">
      <c r="A9" s="123">
        <v>0.7</v>
      </c>
      <c r="B9" s="11">
        <v>953</v>
      </c>
      <c r="C9" s="19">
        <v>5.25</v>
      </c>
      <c r="D9" s="11">
        <v>190.7</v>
      </c>
      <c r="E9" s="19">
        <v>0.7</v>
      </c>
    </row>
    <row r="10" spans="1:7">
      <c r="A10" s="123">
        <v>0.8</v>
      </c>
      <c r="B10" s="11">
        <v>1089</v>
      </c>
      <c r="C10" s="19">
        <v>6</v>
      </c>
      <c r="D10" s="11">
        <v>217.9</v>
      </c>
      <c r="E10" s="19">
        <v>0.8</v>
      </c>
    </row>
    <row r="11" spans="1:7">
      <c r="A11" s="124">
        <v>0.9</v>
      </c>
      <c r="B11" s="14">
        <v>1225</v>
      </c>
      <c r="C11" s="15">
        <v>6.75</v>
      </c>
      <c r="D11" s="14">
        <v>245.2</v>
      </c>
      <c r="E11" s="15">
        <v>0.9</v>
      </c>
    </row>
    <row r="12" spans="1:7">
      <c r="A12" s="7"/>
      <c r="B12" s="7"/>
      <c r="C12" s="7"/>
      <c r="D12" s="7"/>
      <c r="E12" s="7"/>
      <c r="F12" s="7"/>
    </row>
    <row r="13" spans="1:7">
      <c r="A13" s="7" t="s">
        <v>292</v>
      </c>
      <c r="B13" s="7"/>
      <c r="C13" s="7"/>
      <c r="D13" s="7"/>
      <c r="E13" s="7"/>
      <c r="F13" s="7"/>
    </row>
    <row r="14" spans="1:7">
      <c r="A14" s="7" t="s">
        <v>293</v>
      </c>
      <c r="B14" s="87">
        <f>C3*10*'Balance calefacción'!Q37*'Balance calefacción'!M36</f>
        <v>76.895064404030109</v>
      </c>
      <c r="C14" s="87" t="s">
        <v>27</v>
      </c>
      <c r="D14" s="87" t="s">
        <v>294</v>
      </c>
      <c r="E14" s="87">
        <f>+B3*10*'Balance calefacción'!Q37*'Balance calefacción'!M36</f>
        <v>14353.745355418954</v>
      </c>
      <c r="F14" s="7" t="s">
        <v>295</v>
      </c>
      <c r="G14" t="s">
        <v>2</v>
      </c>
    </row>
    <row r="15" spans="1:7">
      <c r="A15" s="7" t="s">
        <v>296</v>
      </c>
      <c r="B15" s="87">
        <f>+E3*10*'Balance calefacción'!Q37*'Balance calefacción'!M36</f>
        <v>10.252675253870681</v>
      </c>
      <c r="C15" s="87" t="s">
        <v>27</v>
      </c>
      <c r="D15" s="87"/>
      <c r="E15" s="87">
        <f>+D3*10*'Balance calefacción'!Q37*'Balance calefacción'!M36</f>
        <v>2839.9910453221787</v>
      </c>
      <c r="F15" s="7" t="s">
        <v>295</v>
      </c>
    </row>
    <row r="16" spans="1:7">
      <c r="A16" s="7"/>
      <c r="B16" s="7"/>
      <c r="C16" s="7"/>
      <c r="D16" s="7"/>
      <c r="E16" s="7"/>
      <c r="F16" s="7"/>
    </row>
    <row r="17" spans="1:6">
      <c r="A17" s="7" t="s">
        <v>297</v>
      </c>
      <c r="B17" s="7"/>
      <c r="C17" s="7"/>
      <c r="D17" s="7" t="s">
        <v>351</v>
      </c>
      <c r="E17" s="7"/>
      <c r="F17" s="7"/>
    </row>
    <row r="18" spans="1:6">
      <c r="A18" s="7"/>
      <c r="B18" s="7"/>
      <c r="C18" s="7" t="s">
        <v>298</v>
      </c>
      <c r="D18" s="7" t="s">
        <v>352</v>
      </c>
      <c r="E18" s="7" t="s">
        <v>300</v>
      </c>
      <c r="F18" s="7"/>
    </row>
    <row r="19" spans="1:6">
      <c r="A19" s="7" t="s">
        <v>301</v>
      </c>
      <c r="B19" s="7"/>
      <c r="C19" s="7">
        <v>2200</v>
      </c>
      <c r="D19" s="125">
        <v>0.12</v>
      </c>
      <c r="E19" s="87">
        <f>+($E$14/C19)/D19</f>
        <v>54.370247558405133</v>
      </c>
      <c r="F19" s="7" t="s">
        <v>27</v>
      </c>
    </row>
    <row r="20" spans="1:6">
      <c r="A20" s="7" t="s">
        <v>302</v>
      </c>
      <c r="B20" s="7"/>
      <c r="C20" s="7">
        <v>1800</v>
      </c>
      <c r="D20" s="125">
        <v>0.1</v>
      </c>
      <c r="E20" s="87">
        <f>+($E$14/C20)/D20</f>
        <v>79.743029752327516</v>
      </c>
      <c r="F20" s="7" t="s">
        <v>27</v>
      </c>
    </row>
    <row r="21" spans="1:6">
      <c r="A21" s="7" t="s">
        <v>303</v>
      </c>
      <c r="B21" s="7"/>
      <c r="C21" s="7">
        <v>1600</v>
      </c>
      <c r="D21" s="125">
        <v>0.1</v>
      </c>
      <c r="E21" s="87">
        <f>+($E$14/C21)/D21</f>
        <v>89.710908471368455</v>
      </c>
      <c r="F21" s="7" t="s">
        <v>27</v>
      </c>
    </row>
    <row r="22" spans="1:6">
      <c r="A22" s="7" t="s">
        <v>304</v>
      </c>
      <c r="B22" s="7"/>
      <c r="C22" s="7">
        <v>2500</v>
      </c>
      <c r="D22" s="125">
        <v>0.12</v>
      </c>
      <c r="E22" s="87">
        <f>+($E$14/C22)/D22</f>
        <v>47.845817851396518</v>
      </c>
      <c r="F22" s="7" t="s">
        <v>27</v>
      </c>
    </row>
    <row r="23" spans="1:6">
      <c r="A23" s="7" t="s">
        <v>305</v>
      </c>
      <c r="B23" s="7"/>
      <c r="C23" s="7">
        <v>2000</v>
      </c>
      <c r="D23" s="125">
        <v>0.11</v>
      </c>
      <c r="E23" s="87">
        <f>+($E$14/C23)/D23</f>
        <v>65.244297070086162</v>
      </c>
      <c r="F23" s="7" t="s">
        <v>27</v>
      </c>
    </row>
    <row r="24" spans="1:6">
      <c r="A24" s="7"/>
      <c r="B24" s="7"/>
      <c r="C24" s="7"/>
      <c r="D24" s="125"/>
      <c r="E24" s="87"/>
      <c r="F24" s="7"/>
    </row>
    <row r="25" spans="1:6">
      <c r="A25" s="7" t="s">
        <v>306</v>
      </c>
      <c r="B25" s="7" t="s">
        <v>2</v>
      </c>
      <c r="C25" s="7">
        <v>1000</v>
      </c>
      <c r="D25" s="125">
        <v>0.25</v>
      </c>
      <c r="E25" s="87">
        <f>+($E$15/C25)/D25</f>
        <v>11.359964181288715</v>
      </c>
      <c r="F25" s="7" t="s">
        <v>27</v>
      </c>
    </row>
    <row r="26" spans="1:6">
      <c r="A26" s="7"/>
      <c r="B26" s="7"/>
      <c r="C26" s="7"/>
      <c r="D26" s="7"/>
      <c r="E26" s="7"/>
      <c r="F26" s="7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J112"/>
  <sheetViews>
    <sheetView zoomScaleNormal="100" workbookViewId="0">
      <selection activeCell="F47" sqref="F47"/>
    </sheetView>
  </sheetViews>
  <sheetFormatPr baseColWidth="10" defaultRowHeight="12.75"/>
  <cols>
    <col min="1" max="1" width="3.5703125" customWidth="1"/>
    <col min="7" max="7" width="12.5703125" customWidth="1"/>
    <col min="9" max="9" width="3.85546875" customWidth="1"/>
  </cols>
  <sheetData>
    <row r="2" spans="2:10">
      <c r="B2" s="662" t="s">
        <v>667</v>
      </c>
      <c r="C2" s="662"/>
      <c r="D2" s="662"/>
      <c r="E2" s="662"/>
      <c r="F2" s="662"/>
      <c r="G2" s="662"/>
      <c r="H2" s="662"/>
    </row>
    <row r="3" spans="2:10" ht="13.5" thickBot="1">
      <c r="B3" s="89"/>
      <c r="C3" s="89"/>
      <c r="D3" s="89"/>
      <c r="E3" s="89"/>
      <c r="F3" s="89"/>
      <c r="G3" s="89"/>
      <c r="H3" s="89"/>
    </row>
    <row r="4" spans="2:10" ht="13.5" thickBot="1">
      <c r="B4" s="465" t="s">
        <v>668</v>
      </c>
      <c r="C4" s="522" t="str">
        <f>+Lugar!D17</f>
        <v>Vivienda Perez - General Alvear, Mendoza</v>
      </c>
      <c r="D4" s="523"/>
      <c r="E4" s="523"/>
      <c r="F4" s="523"/>
      <c r="G4" s="523"/>
      <c r="H4" s="524"/>
    </row>
    <row r="5" spans="2:10" ht="13.5" thickBot="1">
      <c r="B5" s="89"/>
      <c r="C5" s="89"/>
      <c r="D5" s="89"/>
      <c r="E5" s="89"/>
      <c r="F5" s="89"/>
      <c r="G5" s="89"/>
      <c r="H5" s="89"/>
    </row>
    <row r="6" spans="2:10" ht="13.5" thickBot="1">
      <c r="B6" s="466" t="s">
        <v>669</v>
      </c>
      <c r="C6" s="467"/>
      <c r="D6" s="523" t="str">
        <f>+'Balance calefacción'!B4</f>
        <v>Rama Caída</v>
      </c>
      <c r="E6" s="523"/>
      <c r="F6" s="523"/>
      <c r="G6" s="523"/>
      <c r="H6" s="524"/>
    </row>
    <row r="8" spans="2:10" ht="13.5" thickBot="1">
      <c r="B8" s="1" t="s">
        <v>670</v>
      </c>
    </row>
    <row r="9" spans="2:10">
      <c r="B9" s="468" t="s">
        <v>358</v>
      </c>
      <c r="C9" s="469">
        <f>+[1]superficies!E24</f>
        <v>0</v>
      </c>
      <c r="D9" s="469"/>
      <c r="E9" s="469"/>
      <c r="F9" s="469"/>
      <c r="G9" s="525">
        <f>+superficies!D25</f>
        <v>2.0597388316151202</v>
      </c>
      <c r="H9" s="470">
        <f>+[1]superficies!C24</f>
        <v>2.0597388316151202</v>
      </c>
    </row>
    <row r="10" spans="2:10">
      <c r="B10" s="471" t="s">
        <v>94</v>
      </c>
      <c r="C10" s="243"/>
      <c r="D10" s="243"/>
      <c r="E10" s="243"/>
      <c r="F10" s="243"/>
      <c r="G10" s="526">
        <f>+superficies!D26</f>
        <v>1</v>
      </c>
      <c r="H10" s="472">
        <f>+[1]superficies!C24</f>
        <v>2.0597388316151202</v>
      </c>
    </row>
    <row r="11" spans="2:10">
      <c r="B11" s="471" t="s">
        <v>671</v>
      </c>
      <c r="C11" s="243"/>
      <c r="D11" s="243"/>
      <c r="E11" s="243"/>
      <c r="F11" s="243"/>
      <c r="G11" s="526">
        <f>+superficies!D27</f>
        <v>1.0597388316151202</v>
      </c>
      <c r="H11" s="472">
        <f>+[1]superficies!C24</f>
        <v>2.0597388316151202</v>
      </c>
    </row>
    <row r="12" spans="2:10" ht="15" thickBot="1">
      <c r="B12" s="473" t="s">
        <v>672</v>
      </c>
      <c r="C12" s="456">
        <f>+[1]superficies!E28</f>
        <v>0</v>
      </c>
      <c r="D12" s="456"/>
      <c r="E12" s="456"/>
      <c r="F12" s="456"/>
      <c r="G12" s="527">
        <f>+superficies!D29</f>
        <v>0.85822451317296666</v>
      </c>
      <c r="H12" s="474" t="s">
        <v>361</v>
      </c>
    </row>
    <row r="14" spans="2:10" ht="13.5" thickBot="1">
      <c r="B14" s="475" t="s">
        <v>673</v>
      </c>
    </row>
    <row r="15" spans="2:10">
      <c r="B15" s="476" t="s">
        <v>674</v>
      </c>
      <c r="C15" s="469"/>
      <c r="D15" s="469"/>
      <c r="E15" s="469"/>
      <c r="F15" s="469"/>
      <c r="G15" s="469"/>
      <c r="H15" s="477"/>
      <c r="I15" s="243"/>
      <c r="J15" s="243"/>
    </row>
    <row r="16" spans="2:10">
      <c r="B16" s="471"/>
      <c r="C16" s="243"/>
      <c r="D16" s="243"/>
      <c r="E16" s="243"/>
      <c r="F16" s="243"/>
      <c r="G16" s="243"/>
      <c r="H16" s="478"/>
      <c r="I16" s="243"/>
      <c r="J16" s="243"/>
    </row>
    <row r="17" spans="2:10">
      <c r="B17" s="479" t="s">
        <v>675</v>
      </c>
      <c r="C17" s="243"/>
      <c r="D17" s="243"/>
      <c r="E17" s="243"/>
      <c r="F17" s="243"/>
      <c r="G17" s="243"/>
      <c r="H17" s="478"/>
      <c r="I17" s="243"/>
      <c r="J17" s="243"/>
    </row>
    <row r="18" spans="2:10">
      <c r="B18" s="480" t="s">
        <v>676</v>
      </c>
      <c r="C18" s="243"/>
      <c r="D18" s="243"/>
      <c r="E18" s="243"/>
      <c r="F18" s="243"/>
      <c r="G18" s="243"/>
      <c r="H18" s="478"/>
      <c r="I18" s="243"/>
      <c r="J18" s="243"/>
    </row>
    <row r="19" spans="2:10">
      <c r="B19" s="471"/>
      <c r="C19" s="243"/>
      <c r="D19" s="243"/>
      <c r="E19" s="243"/>
      <c r="F19" s="243"/>
      <c r="G19" s="243"/>
      <c r="H19" s="478"/>
      <c r="I19" s="243"/>
      <c r="J19" s="243"/>
    </row>
    <row r="20" spans="2:10">
      <c r="B20" s="481" t="s">
        <v>677</v>
      </c>
      <c r="C20" s="482" t="s">
        <v>11</v>
      </c>
      <c r="D20" s="243"/>
      <c r="E20" s="243"/>
      <c r="F20" s="243"/>
      <c r="G20" s="243"/>
      <c r="H20" s="478"/>
      <c r="I20" s="243"/>
      <c r="J20" s="243"/>
    </row>
    <row r="21" spans="2:10">
      <c r="B21" s="29" t="s">
        <v>69</v>
      </c>
      <c r="C21" s="528">
        <f>+'Balance calefacción'!G10</f>
        <v>21.329045114940396</v>
      </c>
      <c r="D21" s="243"/>
      <c r="E21" s="243"/>
      <c r="F21" s="243"/>
      <c r="G21" s="243"/>
      <c r="H21" s="478"/>
      <c r="I21" s="243"/>
      <c r="J21" s="243"/>
    </row>
    <row r="22" spans="2:10">
      <c r="B22" s="29" t="s">
        <v>70</v>
      </c>
      <c r="C22" s="528">
        <f>+'Balance calefacción'!G11</f>
        <v>4.4426872097662402</v>
      </c>
      <c r="D22" s="243"/>
      <c r="E22" s="243"/>
      <c r="F22" s="243"/>
      <c r="G22" s="243"/>
      <c r="H22" s="478"/>
      <c r="I22" s="243"/>
      <c r="J22" s="243"/>
    </row>
    <row r="23" spans="2:10">
      <c r="B23" s="29" t="s">
        <v>71</v>
      </c>
      <c r="C23" s="528">
        <f>+'Balance calefacción'!G12</f>
        <v>19.889568892953474</v>
      </c>
      <c r="D23" s="243"/>
      <c r="E23" s="243"/>
      <c r="F23" s="243"/>
      <c r="G23" s="243"/>
      <c r="H23" s="478"/>
      <c r="I23" s="243"/>
      <c r="J23" s="243"/>
    </row>
    <row r="24" spans="2:10">
      <c r="B24" s="29" t="s">
        <v>72</v>
      </c>
      <c r="C24" s="528">
        <f>+'Balance calefacción'!G13</f>
        <v>0</v>
      </c>
      <c r="D24" s="243"/>
      <c r="E24" s="243"/>
      <c r="F24" s="243"/>
      <c r="G24" s="243"/>
      <c r="H24" s="478"/>
      <c r="I24" s="243"/>
      <c r="J24" s="243"/>
    </row>
    <row r="25" spans="2:10">
      <c r="B25" s="29" t="s">
        <v>73</v>
      </c>
      <c r="C25" s="528">
        <f>+'Balance calefacción'!G14</f>
        <v>6.583378954533603</v>
      </c>
      <c r="D25" s="243"/>
      <c r="E25" s="243"/>
      <c r="F25" s="243"/>
      <c r="G25" s="243"/>
      <c r="H25" s="478"/>
      <c r="I25" s="243"/>
      <c r="J25" s="243"/>
    </row>
    <row r="26" spans="2:10">
      <c r="B26" s="29" t="s">
        <v>89</v>
      </c>
      <c r="C26" s="528">
        <f>+'Balance calefacción'!G15</f>
        <v>5.2809197626981366</v>
      </c>
      <c r="D26" s="243"/>
      <c r="E26" s="243"/>
      <c r="F26" s="243"/>
      <c r="G26" s="243"/>
      <c r="H26" s="478"/>
      <c r="I26" s="243"/>
      <c r="J26" s="243"/>
    </row>
    <row r="27" spans="2:10">
      <c r="B27" s="521" t="s">
        <v>13</v>
      </c>
      <c r="C27" s="528">
        <f>+'Balance calefacción'!G16</f>
        <v>23.678757461267121</v>
      </c>
      <c r="D27" s="243"/>
      <c r="E27" s="243"/>
      <c r="F27" s="243"/>
      <c r="G27" s="243"/>
      <c r="H27" s="478"/>
      <c r="I27" s="243"/>
      <c r="J27" s="243"/>
    </row>
    <row r="28" spans="2:10">
      <c r="B28" s="521" t="s">
        <v>220</v>
      </c>
      <c r="C28" s="528">
        <f>+'Balance calefacción'!G17</f>
        <v>18.795642603841035</v>
      </c>
      <c r="D28" s="243"/>
      <c r="E28" s="243"/>
      <c r="F28" s="243"/>
      <c r="G28" s="243"/>
      <c r="H28" s="478"/>
      <c r="I28" s="243"/>
      <c r="J28" s="243"/>
    </row>
    <row r="29" spans="2:10">
      <c r="B29" s="471"/>
      <c r="C29" s="243"/>
      <c r="D29" s="243"/>
      <c r="E29" s="243"/>
      <c r="F29" s="243"/>
      <c r="G29" s="243"/>
      <c r="H29" s="478"/>
      <c r="I29" s="243"/>
      <c r="J29" s="243"/>
    </row>
    <row r="30" spans="2:10">
      <c r="B30" s="481" t="s">
        <v>678</v>
      </c>
      <c r="C30" s="483">
        <f>SUM(C21:C28)</f>
        <v>100</v>
      </c>
      <c r="D30" s="243"/>
      <c r="E30" s="243"/>
      <c r="F30" s="243"/>
      <c r="G30" s="243"/>
      <c r="H30" s="478"/>
      <c r="I30" s="243"/>
      <c r="J30" s="243"/>
    </row>
    <row r="31" spans="2:10">
      <c r="B31" s="471"/>
      <c r="C31" s="243"/>
      <c r="D31" s="243"/>
      <c r="E31" s="243"/>
      <c r="F31" s="243"/>
      <c r="G31" s="243"/>
      <c r="H31" s="478"/>
      <c r="I31" s="243"/>
      <c r="J31" s="243"/>
    </row>
    <row r="32" spans="2:10">
      <c r="B32" s="573" t="s">
        <v>706</v>
      </c>
      <c r="C32" s="574">
        <f>+'Balance calefacción'!F21</f>
        <v>219.46177031249997</v>
      </c>
      <c r="D32" s="575" t="s">
        <v>707</v>
      </c>
      <c r="E32" s="243"/>
      <c r="F32" s="243"/>
      <c r="G32" s="243"/>
      <c r="H32" s="478"/>
      <c r="I32" s="243"/>
      <c r="J32" s="243"/>
    </row>
    <row r="33" spans="1:10">
      <c r="B33" s="471"/>
      <c r="C33" s="243"/>
      <c r="D33" s="243"/>
      <c r="E33" s="243"/>
      <c r="F33" s="243"/>
      <c r="G33" s="243"/>
      <c r="H33" s="478"/>
      <c r="I33" s="243"/>
      <c r="J33" s="243"/>
    </row>
    <row r="34" spans="1:10">
      <c r="B34" s="471"/>
      <c r="C34" s="243"/>
      <c r="D34" s="243"/>
      <c r="E34" s="243"/>
      <c r="F34" s="243"/>
      <c r="G34" s="243"/>
      <c r="H34" s="478"/>
      <c r="I34" s="243"/>
      <c r="J34" s="243"/>
    </row>
    <row r="35" spans="1:10">
      <c r="B35" s="471"/>
      <c r="C35" s="243"/>
      <c r="D35" s="243"/>
      <c r="E35" s="243"/>
      <c r="F35" s="243"/>
      <c r="G35" s="243"/>
      <c r="H35" s="478"/>
      <c r="I35" s="243"/>
      <c r="J35" s="243"/>
    </row>
    <row r="36" spans="1:10" ht="13.5" thickBot="1">
      <c r="B36" s="484"/>
      <c r="C36" s="456"/>
      <c r="D36" s="456"/>
      <c r="E36" s="456"/>
      <c r="F36" s="456"/>
      <c r="G36" s="456"/>
      <c r="H36" s="457"/>
      <c r="I36" s="243"/>
      <c r="J36" s="243"/>
    </row>
    <row r="38" spans="1:10" ht="13.5" thickBot="1"/>
    <row r="39" spans="1:10">
      <c r="B39" s="485" t="s">
        <v>679</v>
      </c>
      <c r="C39" s="469"/>
      <c r="D39" s="469"/>
      <c r="E39" s="469"/>
      <c r="F39" s="469"/>
      <c r="G39" s="469"/>
      <c r="H39" s="477"/>
    </row>
    <row r="40" spans="1:10" ht="14.25">
      <c r="A40" s="242"/>
      <c r="B40" s="480" t="s">
        <v>680</v>
      </c>
      <c r="C40" s="287"/>
      <c r="D40" s="243"/>
      <c r="E40" s="287"/>
      <c r="F40" s="287"/>
      <c r="G40" s="287">
        <f>+'Balance calefacción'!M36</f>
        <v>18</v>
      </c>
      <c r="H40" s="486" t="s">
        <v>681</v>
      </c>
    </row>
    <row r="41" spans="1:10" ht="13.5" thickBot="1">
      <c r="A41" s="242"/>
      <c r="B41" s="487" t="s">
        <v>682</v>
      </c>
      <c r="C41" s="488"/>
      <c r="D41" s="456"/>
      <c r="E41" s="488"/>
      <c r="F41" s="488"/>
      <c r="G41" s="489">
        <f>+'Balance calefacción'!Q37</f>
        <v>0.56959306965948231</v>
      </c>
      <c r="H41" s="490"/>
    </row>
    <row r="42" spans="1:10" ht="13.5" thickBot="1">
      <c r="A42" s="242"/>
      <c r="B42" s="287"/>
      <c r="C42" s="287"/>
      <c r="D42" s="287"/>
      <c r="E42" s="287"/>
      <c r="F42" s="287"/>
      <c r="G42" s="287"/>
      <c r="H42" s="287"/>
    </row>
    <row r="43" spans="1:10">
      <c r="A43" s="242"/>
      <c r="B43" s="491" t="s">
        <v>683</v>
      </c>
      <c r="C43" s="492"/>
      <c r="D43" s="492"/>
      <c r="E43" s="492"/>
      <c r="F43" s="492"/>
      <c r="G43" s="492"/>
      <c r="H43" s="493"/>
    </row>
    <row r="44" spans="1:10">
      <c r="A44" s="242"/>
      <c r="B44" s="494"/>
      <c r="C44" s="287"/>
      <c r="D44" s="287"/>
      <c r="E44" s="287"/>
      <c r="F44" s="287"/>
      <c r="G44" s="287"/>
      <c r="H44" s="495"/>
    </row>
    <row r="45" spans="1:10">
      <c r="A45" s="242"/>
      <c r="B45" s="471"/>
      <c r="C45" s="243"/>
      <c r="D45" s="243"/>
      <c r="E45" s="287"/>
      <c r="F45" s="287"/>
      <c r="G45" s="496" t="s">
        <v>684</v>
      </c>
      <c r="H45" s="495"/>
    </row>
    <row r="46" spans="1:10">
      <c r="A46" s="242"/>
      <c r="B46" s="494"/>
      <c r="C46" s="287"/>
      <c r="D46" s="497" t="s">
        <v>685</v>
      </c>
      <c r="E46" s="498" t="s">
        <v>686</v>
      </c>
      <c r="F46" s="497" t="s">
        <v>687</v>
      </c>
      <c r="G46" s="498" t="s">
        <v>688</v>
      </c>
      <c r="H46" s="495"/>
    </row>
    <row r="47" spans="1:10">
      <c r="A47" s="242"/>
      <c r="B47" s="480" t="s">
        <v>689</v>
      </c>
      <c r="C47" s="287"/>
      <c r="D47" s="529">
        <f>+'Balance calefacción'!X8</f>
        <v>4350.4848696441004</v>
      </c>
      <c r="E47" s="498" t="s">
        <v>100</v>
      </c>
      <c r="F47" s="531">
        <f>+'Balance calefacción'!AB8</f>
        <v>147</v>
      </c>
      <c r="G47" s="533">
        <f>+'Balance calefacción'!AC8</f>
        <v>639521.27583768277</v>
      </c>
      <c r="H47" s="495"/>
    </row>
    <row r="48" spans="1:10">
      <c r="A48" s="242"/>
      <c r="B48" s="494" t="s">
        <v>325</v>
      </c>
      <c r="C48" s="287"/>
      <c r="D48" s="529">
        <f>+'Balance calefacción'!X9</f>
        <v>334.04739981227954</v>
      </c>
      <c r="E48" s="499" t="s">
        <v>690</v>
      </c>
      <c r="F48" s="531">
        <f>+'Balance calefacción'!AB9</f>
        <v>400</v>
      </c>
      <c r="G48" s="533">
        <f>+'Balance calefacción'!AC9</f>
        <v>133618.95992491182</v>
      </c>
      <c r="H48" s="495"/>
    </row>
    <row r="49" spans="1:9">
      <c r="A49" s="242"/>
      <c r="B49" s="494" t="s">
        <v>326</v>
      </c>
      <c r="C49" s="287"/>
      <c r="D49" s="529">
        <f>+'Balance calefacción'!X10</f>
        <v>402.07808407061924</v>
      </c>
      <c r="E49" s="499" t="s">
        <v>691</v>
      </c>
      <c r="F49" s="531">
        <f>+'Balance calefacción'!AB10</f>
        <v>107.5</v>
      </c>
      <c r="G49" s="533">
        <f>+'Balance calefacción'!AC10</f>
        <v>43223.39403759157</v>
      </c>
      <c r="H49" s="495"/>
    </row>
    <row r="50" spans="1:9">
      <c r="A50" s="242"/>
      <c r="B50" s="494" t="s">
        <v>327</v>
      </c>
      <c r="C50" s="287"/>
      <c r="D50" s="529">
        <f>+'Balance calefacción'!X11</f>
        <v>486.08769493230176</v>
      </c>
      <c r="E50" s="499" t="s">
        <v>692</v>
      </c>
      <c r="F50" s="531">
        <f>+'Balance calefacción'!AB11</f>
        <v>0</v>
      </c>
      <c r="G50" s="533">
        <f>+'Balance calefacción'!AC11</f>
        <v>0</v>
      </c>
      <c r="H50" s="495"/>
    </row>
    <row r="51" spans="1:9" ht="13.5" thickBot="1">
      <c r="A51" s="242"/>
      <c r="B51" s="500" t="s">
        <v>328</v>
      </c>
      <c r="C51" s="488"/>
      <c r="D51" s="530">
        <f>+'Balance calefacción'!X12</f>
        <v>1250.1393303575001</v>
      </c>
      <c r="E51" s="501" t="s">
        <v>693</v>
      </c>
      <c r="F51" s="532">
        <f>+'Balance calefacción'!AB12</f>
        <v>180</v>
      </c>
      <c r="G51" s="534">
        <f>+'Balance calefacción'!AC12</f>
        <v>225025.07946435001</v>
      </c>
      <c r="H51" s="490"/>
    </row>
    <row r="52" spans="1:9" ht="13.5" thickBot="1">
      <c r="A52" s="242"/>
      <c r="B52" s="287"/>
      <c r="C52" s="287"/>
      <c r="D52" s="287"/>
      <c r="E52" s="287"/>
      <c r="F52" s="287"/>
      <c r="G52" s="287"/>
      <c r="H52" s="287"/>
    </row>
    <row r="53" spans="1:9">
      <c r="A53" s="242"/>
      <c r="B53" s="491" t="s">
        <v>694</v>
      </c>
      <c r="C53" s="492"/>
      <c r="D53" s="492"/>
      <c r="E53" s="492"/>
      <c r="F53" s="492"/>
      <c r="G53" s="492"/>
      <c r="H53" s="493"/>
    </row>
    <row r="54" spans="1:9">
      <c r="A54" s="242"/>
      <c r="B54" s="494"/>
      <c r="C54" s="287"/>
      <c r="D54" s="287"/>
      <c r="E54" s="287"/>
      <c r="F54" s="287"/>
      <c r="G54" s="287"/>
      <c r="H54" s="495"/>
    </row>
    <row r="55" spans="1:9" ht="13.5" thickBot="1">
      <c r="A55" s="242"/>
      <c r="B55" s="487" t="s">
        <v>409</v>
      </c>
      <c r="C55" s="488"/>
      <c r="D55" s="456"/>
      <c r="E55" s="456"/>
      <c r="F55" s="488"/>
      <c r="G55" s="502">
        <f>+'Balance calefacción'!Y26</f>
        <v>7333.1552680142631</v>
      </c>
      <c r="H55" s="503" t="s">
        <v>75</v>
      </c>
    </row>
    <row r="56" spans="1:9">
      <c r="A56" s="242"/>
      <c r="B56" s="242"/>
      <c r="C56" s="242"/>
      <c r="D56" s="242"/>
      <c r="E56" s="242"/>
      <c r="F56" s="242"/>
      <c r="G56" s="242"/>
      <c r="H56" s="242"/>
    </row>
    <row r="57" spans="1:9" ht="13.5" thickBot="1"/>
    <row r="58" spans="1:9">
      <c r="A58" s="468"/>
      <c r="B58" s="504" t="s">
        <v>695</v>
      </c>
      <c r="C58" s="469"/>
      <c r="D58" s="469"/>
      <c r="E58" s="469"/>
      <c r="F58" s="469"/>
      <c r="G58" s="469"/>
      <c r="H58" s="469"/>
      <c r="I58" s="477"/>
    </row>
    <row r="59" spans="1:9">
      <c r="A59" s="471"/>
      <c r="B59" s="243"/>
      <c r="C59" s="505" t="s">
        <v>696</v>
      </c>
      <c r="D59" s="243"/>
      <c r="G59" s="528">
        <f>+'Balance enfriamiento'!$AD$269</f>
        <v>39596.504114161544</v>
      </c>
      <c r="H59" s="505" t="s">
        <v>697</v>
      </c>
      <c r="I59" s="478"/>
    </row>
    <row r="60" spans="1:9">
      <c r="A60" s="471"/>
      <c r="B60" s="243"/>
      <c r="C60" s="505" t="s">
        <v>537</v>
      </c>
      <c r="D60" s="243"/>
      <c r="G60" s="535">
        <f>+'Balance enfriamiento'!$G$275</f>
        <v>25</v>
      </c>
      <c r="H60" s="505" t="s">
        <v>98</v>
      </c>
      <c r="I60" s="478"/>
    </row>
    <row r="61" spans="1:9">
      <c r="A61" s="471"/>
      <c r="B61" s="243"/>
      <c r="C61" s="243"/>
      <c r="D61" s="243"/>
      <c r="E61" s="243"/>
      <c r="F61" s="243"/>
      <c r="G61" s="243"/>
      <c r="H61" s="243"/>
      <c r="I61" s="478"/>
    </row>
    <row r="62" spans="1:9">
      <c r="A62" s="471"/>
      <c r="B62" s="243"/>
      <c r="C62" s="243"/>
      <c r="D62" s="243"/>
      <c r="E62" s="243"/>
      <c r="F62" s="243"/>
      <c r="G62" s="243"/>
      <c r="H62" s="243"/>
      <c r="I62" s="478"/>
    </row>
    <row r="63" spans="1:9">
      <c r="A63" s="471"/>
      <c r="B63" s="243"/>
      <c r="C63" s="243"/>
      <c r="D63" s="243"/>
      <c r="E63" s="243"/>
      <c r="F63" s="243"/>
      <c r="G63" s="243"/>
      <c r="H63" s="243"/>
      <c r="I63" s="478"/>
    </row>
    <row r="64" spans="1:9">
      <c r="A64" s="471"/>
      <c r="B64" s="243"/>
      <c r="C64" s="243"/>
      <c r="D64" s="243"/>
      <c r="E64" s="243"/>
      <c r="F64" s="243"/>
      <c r="G64" s="243"/>
      <c r="H64" s="243"/>
      <c r="I64" s="478"/>
    </row>
    <row r="65" spans="1:9">
      <c r="A65" s="471"/>
      <c r="B65" s="243"/>
      <c r="C65" s="243"/>
      <c r="D65" s="243"/>
      <c r="E65" s="243"/>
      <c r="F65" s="243"/>
      <c r="G65" s="243"/>
      <c r="H65" s="243"/>
      <c r="I65" s="478"/>
    </row>
    <row r="66" spans="1:9">
      <c r="A66" s="471"/>
      <c r="B66" s="243"/>
      <c r="C66" s="243"/>
      <c r="D66" s="243"/>
      <c r="E66" s="243"/>
      <c r="F66" s="243"/>
      <c r="G66" s="243"/>
      <c r="H66" s="243"/>
      <c r="I66" s="478"/>
    </row>
    <row r="67" spans="1:9">
      <c r="A67" s="471"/>
      <c r="B67" s="243"/>
      <c r="C67" s="243"/>
      <c r="D67" s="243"/>
      <c r="E67" s="243"/>
      <c r="F67" s="243"/>
      <c r="G67" s="243"/>
      <c r="H67" s="243"/>
      <c r="I67" s="478"/>
    </row>
    <row r="68" spans="1:9">
      <c r="A68" s="471"/>
      <c r="B68" s="243"/>
      <c r="C68" s="243"/>
      <c r="D68" s="243"/>
      <c r="E68" s="243"/>
      <c r="F68" s="243"/>
      <c r="G68" s="243"/>
      <c r="H68" s="243"/>
      <c r="I68" s="478"/>
    </row>
    <row r="69" spans="1:9">
      <c r="A69" s="471"/>
      <c r="B69" s="243"/>
      <c r="C69" s="243"/>
      <c r="D69" s="243"/>
      <c r="E69" s="243"/>
      <c r="F69" s="243"/>
      <c r="G69" s="243"/>
      <c r="H69" s="243"/>
      <c r="I69" s="478"/>
    </row>
    <row r="70" spans="1:9">
      <c r="A70" s="471"/>
      <c r="B70" s="243"/>
      <c r="C70" s="243"/>
      <c r="D70" s="243"/>
      <c r="E70" s="243"/>
      <c r="F70" s="243"/>
      <c r="G70" s="243"/>
      <c r="H70" s="243"/>
      <c r="I70" s="478"/>
    </row>
    <row r="71" spans="1:9">
      <c r="A71" s="471"/>
      <c r="B71" s="243"/>
      <c r="C71" s="243"/>
      <c r="D71" s="243"/>
      <c r="E71" s="243"/>
      <c r="F71" s="243"/>
      <c r="G71" s="243"/>
      <c r="H71" s="243"/>
      <c r="I71" s="478"/>
    </row>
    <row r="72" spans="1:9">
      <c r="A72" s="471"/>
      <c r="B72" s="243"/>
      <c r="C72" s="243"/>
      <c r="D72" s="243"/>
      <c r="E72" s="243"/>
      <c r="F72" s="243"/>
      <c r="G72" s="243"/>
      <c r="H72" s="243"/>
      <c r="I72" s="478"/>
    </row>
    <row r="73" spans="1:9">
      <c r="A73" s="471"/>
      <c r="B73" s="243"/>
      <c r="C73" s="243"/>
      <c r="D73" s="243"/>
      <c r="E73" s="243"/>
      <c r="F73" s="243"/>
      <c r="G73" s="243"/>
      <c r="H73" s="243"/>
      <c r="I73" s="478"/>
    </row>
    <row r="74" spans="1:9">
      <c r="A74" s="471"/>
      <c r="B74" s="243"/>
      <c r="C74" s="243"/>
      <c r="D74" s="243"/>
      <c r="E74" s="243"/>
      <c r="F74" s="243"/>
      <c r="G74" s="243"/>
      <c r="H74" s="243"/>
      <c r="I74" s="478"/>
    </row>
    <row r="75" spans="1:9">
      <c r="A75" s="471"/>
      <c r="B75" s="243"/>
      <c r="C75" s="243"/>
      <c r="D75" s="243"/>
      <c r="E75" s="243"/>
      <c r="F75" s="243"/>
      <c r="G75" s="243"/>
      <c r="H75" s="243"/>
      <c r="I75" s="478"/>
    </row>
    <row r="76" spans="1:9">
      <c r="A76" s="471"/>
      <c r="B76" s="243"/>
      <c r="C76" s="243"/>
      <c r="D76" s="243"/>
      <c r="E76" s="243"/>
      <c r="F76" s="243"/>
      <c r="G76" s="243"/>
      <c r="H76" s="243"/>
      <c r="I76" s="478"/>
    </row>
    <row r="77" spans="1:9">
      <c r="A77" s="471"/>
      <c r="B77" s="243"/>
      <c r="C77" s="243"/>
      <c r="D77" s="243"/>
      <c r="E77" s="243"/>
      <c r="F77" s="243"/>
      <c r="G77" s="243"/>
      <c r="H77" s="243"/>
      <c r="I77" s="478"/>
    </row>
    <row r="78" spans="1:9">
      <c r="A78" s="471"/>
      <c r="B78" s="243"/>
      <c r="C78" s="243"/>
      <c r="D78" s="243"/>
      <c r="E78" s="243"/>
      <c r="F78" s="243"/>
      <c r="G78" s="243"/>
      <c r="H78" s="243"/>
      <c r="I78" s="478"/>
    </row>
    <row r="79" spans="1:9">
      <c r="A79" s="471"/>
      <c r="B79" s="506" t="s">
        <v>703</v>
      </c>
      <c r="D79" s="243"/>
      <c r="E79" s="243"/>
      <c r="F79" s="243"/>
      <c r="G79" s="243"/>
      <c r="H79" s="243"/>
      <c r="I79" s="478"/>
    </row>
    <row r="80" spans="1:9" ht="13.5" thickBot="1">
      <c r="A80" s="471"/>
      <c r="B80" s="243"/>
      <c r="D80" s="243"/>
      <c r="E80" s="243"/>
      <c r="F80" s="243"/>
      <c r="G80" s="243"/>
      <c r="H80" s="243"/>
      <c r="I80" s="478"/>
    </row>
    <row r="81" spans="1:9">
      <c r="A81" s="471"/>
      <c r="B81" s="287"/>
      <c r="C81" s="507" t="s">
        <v>225</v>
      </c>
      <c r="D81" s="287"/>
      <c r="E81" s="287"/>
      <c r="G81" s="528">
        <f>+'Balance enfriamiento'!$D$273</f>
        <v>6553.7785658872272</v>
      </c>
      <c r="H81" s="287" t="str">
        <f>+'[1]Balance enfriamiento'!E235</f>
        <v>W</v>
      </c>
      <c r="I81" s="478"/>
    </row>
    <row r="82" spans="1:9">
      <c r="A82" s="471"/>
      <c r="B82" s="287"/>
      <c r="C82" s="508" t="s">
        <v>283</v>
      </c>
      <c r="D82" s="287"/>
      <c r="E82" s="287"/>
      <c r="G82" s="528">
        <f>+'Balance enfriamiento'!$D$274</f>
        <v>5636.3121923540411</v>
      </c>
      <c r="H82" s="287" t="str">
        <f>+'[1]Balance enfriamiento'!E236</f>
        <v>frig./hora</v>
      </c>
      <c r="I82" s="478"/>
    </row>
    <row r="83" spans="1:9" ht="13.5" thickBot="1">
      <c r="A83" s="471"/>
      <c r="B83" s="287"/>
      <c r="C83" s="509" t="s">
        <v>284</v>
      </c>
      <c r="D83" s="287"/>
      <c r="E83" s="287"/>
      <c r="G83" s="528">
        <f>+'Balance enfriamiento'!$D$275</f>
        <v>1.8787707307846804</v>
      </c>
      <c r="H83" s="287" t="str">
        <f>+'[1]Balance enfriamiento'!E237</f>
        <v>Ton.refrig.</v>
      </c>
      <c r="I83" s="478"/>
    </row>
    <row r="84" spans="1:9" ht="13.5" thickBot="1">
      <c r="A84" s="484"/>
      <c r="B84" s="488"/>
      <c r="C84" s="488"/>
      <c r="D84" s="488"/>
      <c r="E84" s="488"/>
      <c r="F84" s="488"/>
      <c r="G84" s="488"/>
      <c r="H84" s="488"/>
      <c r="I84" s="457"/>
    </row>
    <row r="85" spans="1:9" ht="13.5" thickBot="1">
      <c r="B85" s="242"/>
      <c r="C85" s="242"/>
      <c r="D85" s="242"/>
      <c r="E85" s="242"/>
      <c r="F85" s="242"/>
      <c r="G85" s="242"/>
      <c r="H85" s="242"/>
    </row>
    <row r="86" spans="1:9">
      <c r="A86" s="468"/>
      <c r="B86" s="510" t="s">
        <v>698</v>
      </c>
      <c r="C86" s="492"/>
      <c r="D86" s="492"/>
      <c r="E86" s="492"/>
      <c r="F86" s="492"/>
      <c r="G86" s="492"/>
      <c r="H86" s="492"/>
      <c r="I86" s="477"/>
    </row>
    <row r="87" spans="1:9">
      <c r="A87" s="471"/>
      <c r="B87" s="287"/>
      <c r="C87" s="287"/>
      <c r="D87" s="287"/>
      <c r="E87" s="287"/>
      <c r="F87" s="287"/>
      <c r="G87" s="287"/>
      <c r="H87" s="287"/>
      <c r="I87" s="478"/>
    </row>
    <row r="88" spans="1:9" ht="13.5" thickBot="1">
      <c r="A88" s="471"/>
      <c r="B88" s="499" t="s">
        <v>699</v>
      </c>
      <c r="C88" s="287"/>
      <c r="D88" s="287"/>
      <c r="E88" s="287"/>
      <c r="F88" s="287"/>
      <c r="G88" s="287"/>
      <c r="H88" s="287"/>
      <c r="I88" s="478"/>
    </row>
    <row r="89" spans="1:9">
      <c r="A89" s="471"/>
      <c r="B89" s="289"/>
      <c r="C89" s="507" t="s">
        <v>504</v>
      </c>
      <c r="D89" s="511"/>
      <c r="E89" s="507" t="s">
        <v>505</v>
      </c>
      <c r="F89" s="512"/>
      <c r="G89" s="513" t="s">
        <v>506</v>
      </c>
      <c r="H89" s="493"/>
      <c r="I89" s="478"/>
    </row>
    <row r="90" spans="1:9" ht="13.5" thickBot="1">
      <c r="A90" s="471"/>
      <c r="B90" s="289"/>
      <c r="C90" s="514" t="s">
        <v>108</v>
      </c>
      <c r="D90" s="515" t="s">
        <v>503</v>
      </c>
      <c r="E90" s="514" t="s">
        <v>108</v>
      </c>
      <c r="F90" s="515" t="s">
        <v>503</v>
      </c>
      <c r="G90" s="514" t="s">
        <v>108</v>
      </c>
      <c r="H90" s="515" t="s">
        <v>503</v>
      </c>
      <c r="I90" s="478"/>
    </row>
    <row r="91" spans="1:9" ht="13.5" thickBot="1">
      <c r="A91" s="471"/>
      <c r="B91" s="516" t="s">
        <v>321</v>
      </c>
      <c r="C91" s="536">
        <f>+'Enf. convectivo nocturno'!C121</f>
        <v>3.8842909821204112</v>
      </c>
      <c r="D91" s="537">
        <f>+'Enf. convectivo nocturno'!D121</f>
        <v>3.5594877270290141E-2</v>
      </c>
      <c r="E91" s="536">
        <f>+'Enf. convectivo nocturno'!E121</f>
        <v>7.7685819642408225</v>
      </c>
      <c r="F91" s="537">
        <f>+'Enf. convectivo nocturno'!F121</f>
        <v>7.1189754540580283E-2</v>
      </c>
      <c r="G91" s="536">
        <f>+'Enf. convectivo nocturno'!G121</f>
        <v>11.652872946361233</v>
      </c>
      <c r="H91" s="537">
        <f>+'Enf. convectivo nocturno'!H121</f>
        <v>0.10678463181087042</v>
      </c>
      <c r="I91" s="478"/>
    </row>
    <row r="92" spans="1:9" ht="13.5" thickBot="1">
      <c r="A92" s="471"/>
      <c r="B92" s="517" t="s">
        <v>322</v>
      </c>
      <c r="C92" s="536">
        <f>+'Enf. convectivo nocturno'!C122</f>
        <v>3.3503865900708951</v>
      </c>
      <c r="D92" s="537">
        <f>+'Enf. convectivo nocturno'!D122</f>
        <v>3.0702282612333522E-2</v>
      </c>
      <c r="E92" s="536">
        <f>+'Enf. convectivo nocturno'!E122</f>
        <v>6.7007731801417902</v>
      </c>
      <c r="F92" s="537">
        <f>+'Enf. convectivo nocturno'!F122</f>
        <v>6.1404565224667043E-2</v>
      </c>
      <c r="G92" s="536">
        <f>+'Enf. convectivo nocturno'!G122</f>
        <v>10.051159770212685</v>
      </c>
      <c r="H92" s="537">
        <f>+'Enf. convectivo nocturno'!H122</f>
        <v>9.2106847837000572E-2</v>
      </c>
      <c r="I92" s="478"/>
    </row>
    <row r="93" spans="1:9">
      <c r="A93" s="471"/>
      <c r="B93" s="518" t="s">
        <v>509</v>
      </c>
      <c r="C93" s="289"/>
      <c r="D93" s="289"/>
      <c r="E93" s="289"/>
      <c r="F93" s="289"/>
      <c r="G93" s="287"/>
      <c r="H93" s="287"/>
      <c r="I93" s="478"/>
    </row>
    <row r="94" spans="1:9">
      <c r="A94" s="471"/>
      <c r="B94" s="518" t="s">
        <v>510</v>
      </c>
      <c r="C94" s="289"/>
      <c r="D94" s="289"/>
      <c r="E94" s="289"/>
      <c r="F94" s="289"/>
      <c r="G94" s="289"/>
      <c r="H94" s="287"/>
      <c r="I94" s="478"/>
    </row>
    <row r="95" spans="1:9">
      <c r="A95" s="471"/>
      <c r="B95" s="518"/>
      <c r="C95" s="289"/>
      <c r="D95" s="289"/>
      <c r="E95" s="289"/>
      <c r="F95" s="289"/>
      <c r="G95" s="289"/>
      <c r="H95" s="287"/>
      <c r="I95" s="478"/>
    </row>
    <row r="96" spans="1:9" ht="14.25">
      <c r="A96" s="471"/>
      <c r="B96" s="288" t="s">
        <v>700</v>
      </c>
      <c r="C96" s="289"/>
      <c r="D96" s="289" t="str">
        <f>+'Masa Térmica'!G20</f>
        <v>Muros</v>
      </c>
      <c r="E96" s="538">
        <f>+'Masa Térmica'!G21</f>
        <v>224.76899999999995</v>
      </c>
      <c r="F96" s="518" t="s">
        <v>681</v>
      </c>
      <c r="G96" s="538" t="str">
        <f>IF(E96=0,"  ",+'Masa Térmica'!F22)</f>
        <v>Piedra:</v>
      </c>
      <c r="H96" s="287"/>
      <c r="I96" s="478"/>
    </row>
    <row r="97" spans="1:9" ht="14.25">
      <c r="A97" s="471"/>
      <c r="B97" s="518"/>
      <c r="C97" s="289"/>
      <c r="D97" s="289" t="str">
        <f>+'Masa Térmica'!I20</f>
        <v>Pisos</v>
      </c>
      <c r="E97" s="538">
        <f>+'Masa Térmica'!I21</f>
        <v>109.12499999999999</v>
      </c>
      <c r="F97" s="518" t="s">
        <v>681</v>
      </c>
      <c r="G97" s="538" t="str">
        <f>IF(E97=0,"  ",+'Masa Térmica'!H22)</f>
        <v>Concreto:</v>
      </c>
      <c r="H97" s="287"/>
      <c r="I97" s="478"/>
    </row>
    <row r="98" spans="1:9" s="585" customFormat="1" ht="14.25">
      <c r="A98" s="471"/>
      <c r="B98" s="518"/>
      <c r="C98" s="289"/>
      <c r="D98" s="518" t="s">
        <v>718</v>
      </c>
      <c r="E98" s="538">
        <f>+'Masa Térmica'!K21</f>
        <v>148.86000000000001</v>
      </c>
      <c r="F98" s="518" t="s">
        <v>681</v>
      </c>
      <c r="G98" s="538" t="str">
        <f>IF(E98=0,"  ",+'Masa Térmica'!J22)</f>
        <v>Concrehaus</v>
      </c>
      <c r="H98" s="287"/>
      <c r="I98" s="478"/>
    </row>
    <row r="99" spans="1:9" ht="13.5" thickBot="1">
      <c r="A99" s="484"/>
      <c r="B99" s="488"/>
      <c r="C99" s="488"/>
      <c r="D99" s="519" t="str">
        <f>IF('[1]Masa Térmica'!I37-'[1]Masa Térmica'!I25&gt;1.5,"Podria no ser suficiente revisar"," ")</f>
        <v xml:space="preserve"> </v>
      </c>
      <c r="E99" s="488"/>
      <c r="F99" s="488"/>
      <c r="G99" s="488"/>
      <c r="H99" s="488"/>
      <c r="I99" s="457"/>
    </row>
    <row r="100" spans="1:9">
      <c r="B100" s="242"/>
      <c r="C100" s="242"/>
      <c r="D100" s="242"/>
      <c r="E100" s="242"/>
      <c r="F100" s="242"/>
      <c r="G100" s="242"/>
      <c r="H100" s="242"/>
    </row>
    <row r="101" spans="1:9" ht="13.5" thickBot="1"/>
    <row r="102" spans="1:9">
      <c r="A102" s="468"/>
      <c r="B102" s="520" t="s">
        <v>701</v>
      </c>
      <c r="C102" s="492"/>
      <c r="D102" s="492"/>
      <c r="E102" s="492"/>
      <c r="F102" s="492"/>
      <c r="G102" s="492"/>
      <c r="H102" s="492"/>
      <c r="I102" s="477"/>
    </row>
    <row r="103" spans="1:9" ht="13.5" thickBot="1">
      <c r="A103" s="471"/>
      <c r="B103" s="287"/>
      <c r="C103" s="287"/>
      <c r="D103" s="287"/>
      <c r="E103" s="287"/>
      <c r="F103" s="287"/>
      <c r="G103" s="287"/>
      <c r="H103" s="287"/>
      <c r="I103" s="478"/>
    </row>
    <row r="104" spans="1:9">
      <c r="A104" s="471"/>
      <c r="B104" s="289"/>
      <c r="C104" s="507" t="s">
        <v>504</v>
      </c>
      <c r="D104" s="511"/>
      <c r="E104" s="507" t="s">
        <v>505</v>
      </c>
      <c r="F104" s="512"/>
      <c r="G104" s="513" t="s">
        <v>506</v>
      </c>
      <c r="H104" s="493"/>
      <c r="I104" s="478"/>
    </row>
    <row r="105" spans="1:9" ht="13.5" thickBot="1">
      <c r="A105" s="471"/>
      <c r="B105" s="289"/>
      <c r="C105" s="514" t="s">
        <v>108</v>
      </c>
      <c r="D105" s="515" t="s">
        <v>503</v>
      </c>
      <c r="E105" s="514" t="s">
        <v>108</v>
      </c>
      <c r="F105" s="515" t="s">
        <v>503</v>
      </c>
      <c r="G105" s="514" t="s">
        <v>108</v>
      </c>
      <c r="H105" s="515" t="s">
        <v>503</v>
      </c>
      <c r="I105" s="478"/>
    </row>
    <row r="106" spans="1:9" ht="13.5" thickBot="1">
      <c r="A106" s="471"/>
      <c r="B106" s="516" t="s">
        <v>321</v>
      </c>
      <c r="C106" s="536">
        <f>+'Ventilación natural'!C114</f>
        <v>2.9665854193515973</v>
      </c>
      <c r="D106" s="537">
        <f>+'Ventilación natural'!D114</f>
        <v>2.7185204301045568E-2</v>
      </c>
      <c r="E106" s="536">
        <f>+'Ventilación natural'!E114</f>
        <v>5.9331708387031945</v>
      </c>
      <c r="F106" s="537">
        <f>+'Ventilación natural'!F114</f>
        <v>5.4370408602091136E-2</v>
      </c>
      <c r="G106" s="536">
        <f>+'Ventilación natural'!G114</f>
        <v>8.8997562580547918</v>
      </c>
      <c r="H106" s="537">
        <f>+'Ventilación natural'!H114</f>
        <v>8.1555612903136704E-2</v>
      </c>
      <c r="I106" s="478"/>
    </row>
    <row r="107" spans="1:9" ht="13.5" thickBot="1">
      <c r="A107" s="471"/>
      <c r="B107" s="517" t="s">
        <v>322</v>
      </c>
      <c r="C107" s="536">
        <f>+'Ventilación natural'!C115</f>
        <v>2.5588216879338122</v>
      </c>
      <c r="D107" s="537">
        <f>+'Ventilación natural'!D115</f>
        <v>2.3448537804662658E-2</v>
      </c>
      <c r="E107" s="536">
        <f>+'Ventilación natural'!E115</f>
        <v>5.1176433758676243</v>
      </c>
      <c r="F107" s="537">
        <f>+'Ventilación natural'!F115</f>
        <v>4.6897075609325316E-2</v>
      </c>
      <c r="G107" s="536">
        <f>+'Ventilación natural'!G115</f>
        <v>7.6764650638014365</v>
      </c>
      <c r="H107" s="537">
        <f>+'Ventilación natural'!H115</f>
        <v>7.034561341398797E-2</v>
      </c>
      <c r="I107" s="478"/>
    </row>
    <row r="108" spans="1:9">
      <c r="A108" s="471"/>
      <c r="B108" s="518" t="s">
        <v>702</v>
      </c>
      <c r="C108" s="289"/>
      <c r="D108" s="289"/>
      <c r="E108" s="289"/>
      <c r="F108" s="289"/>
      <c r="G108" s="287"/>
      <c r="H108" s="287"/>
      <c r="I108" s="478"/>
    </row>
    <row r="109" spans="1:9">
      <c r="A109" s="471"/>
      <c r="B109" s="518" t="s">
        <v>510</v>
      </c>
      <c r="C109" s="289"/>
      <c r="D109" s="289"/>
      <c r="E109" s="289"/>
      <c r="F109" s="289"/>
      <c r="G109" s="289"/>
      <c r="H109" s="287"/>
      <c r="I109" s="478"/>
    </row>
    <row r="110" spans="1:9" ht="13.5" thickBot="1">
      <c r="A110" s="484"/>
      <c r="B110" s="488"/>
      <c r="C110" s="488"/>
      <c r="D110" s="488"/>
      <c r="E110" s="488"/>
      <c r="F110" s="488"/>
      <c r="G110" s="488"/>
      <c r="H110" s="488"/>
      <c r="I110" s="457"/>
    </row>
    <row r="111" spans="1:9">
      <c r="B111" s="242"/>
      <c r="C111" s="242"/>
      <c r="D111" s="242"/>
      <c r="E111" s="242"/>
      <c r="F111" s="242"/>
      <c r="G111" s="242"/>
      <c r="H111" s="242"/>
    </row>
    <row r="112" spans="1:9">
      <c r="B112" s="242"/>
      <c r="C112" s="242"/>
      <c r="D112" s="242"/>
      <c r="E112" s="242"/>
      <c r="F112" s="242"/>
      <c r="G112" s="242"/>
      <c r="H112" s="242"/>
    </row>
  </sheetData>
  <mergeCells count="1">
    <mergeCell ref="B2:H2"/>
  </mergeCells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  <headerFooter>
    <oddFooter>&amp;C&amp;9&amp;K00-049Programa desarrollado en la Universidad de Mendoza - Autores: Esteves/Gelardi
Registrado en CESSI - Propiedad Intelectual de Obra Inédita Nº 02809. Expte. 746850. 13/04/09.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zoomScaleNormal="100" workbookViewId="0">
      <selection activeCell="A64" sqref="A64:F65"/>
    </sheetView>
  </sheetViews>
  <sheetFormatPr baseColWidth="10" defaultColWidth="9.140625" defaultRowHeight="12.75"/>
  <cols>
    <col min="1" max="1" width="24.85546875" customWidth="1"/>
    <col min="2" max="2" width="14" customWidth="1"/>
    <col min="3" max="3" width="14" style="58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</cols>
  <sheetData>
    <row r="1" spans="1:81">
      <c r="A1" s="6" t="s">
        <v>272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</row>
    <row r="2" spans="1:81">
      <c r="A2" s="140" t="s">
        <v>353</v>
      </c>
      <c r="B2" s="140"/>
      <c r="C2" s="14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>
      <c r="A3" s="140"/>
      <c r="B3" s="140"/>
      <c r="C3" s="140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>
      <c r="A4" s="8" t="s">
        <v>29</v>
      </c>
      <c r="B4" s="38"/>
      <c r="C4" s="38"/>
      <c r="D4" s="9"/>
      <c r="E4" s="9"/>
      <c r="F4" s="9"/>
      <c r="G4" s="9"/>
      <c r="H4" s="9"/>
      <c r="I4" s="9"/>
      <c r="J4" s="9"/>
      <c r="K4" s="10"/>
      <c r="L4" s="7"/>
      <c r="M4" s="56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12.75" customHeight="1">
      <c r="A5" s="11"/>
      <c r="B5" s="645" t="s">
        <v>719</v>
      </c>
      <c r="C5" s="622"/>
      <c r="D5" s="647" t="s">
        <v>720</v>
      </c>
      <c r="E5" s="648"/>
      <c r="F5" s="645" t="s">
        <v>721</v>
      </c>
      <c r="G5" s="645" t="s">
        <v>722</v>
      </c>
      <c r="H5" s="647" t="s">
        <v>0</v>
      </c>
      <c r="I5" s="10"/>
      <c r="J5" s="639" t="s">
        <v>77</v>
      </c>
      <c r="K5" s="640"/>
      <c r="L5" s="7"/>
      <c r="M5" s="567" t="s">
        <v>705</v>
      </c>
      <c r="N5" s="568">
        <v>2.4</v>
      </c>
      <c r="O5" s="140" t="s">
        <v>473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s="585" customFormat="1">
      <c r="A6" s="11"/>
      <c r="B6" s="646"/>
      <c r="C6" s="623" t="s">
        <v>725</v>
      </c>
      <c r="D6" s="649"/>
      <c r="E6" s="650"/>
      <c r="F6" s="646"/>
      <c r="G6" s="646"/>
      <c r="H6" s="651"/>
      <c r="I6" s="19"/>
      <c r="J6" s="641"/>
      <c r="K6" s="642"/>
      <c r="L6" s="7"/>
      <c r="M6" s="56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>
      <c r="A7" s="14"/>
      <c r="B7" s="646"/>
      <c r="C7" s="623"/>
      <c r="D7" s="625" t="s">
        <v>23</v>
      </c>
      <c r="E7" s="626" t="s">
        <v>24</v>
      </c>
      <c r="F7" s="646"/>
      <c r="G7" s="646"/>
      <c r="H7" s="652"/>
      <c r="I7" s="142"/>
      <c r="J7" s="643"/>
      <c r="K7" s="64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>
      <c r="A8" s="16" t="s">
        <v>1</v>
      </c>
      <c r="B8" s="628">
        <v>11.25</v>
      </c>
      <c r="C8" s="565">
        <v>2.76</v>
      </c>
      <c r="D8" s="569">
        <f>B8*C8-F8-G8-E8</f>
        <v>13.049999999999997</v>
      </c>
      <c r="E8" s="629">
        <v>0</v>
      </c>
      <c r="F8" s="630">
        <f>0*0</f>
        <v>0</v>
      </c>
      <c r="G8" s="631">
        <v>18</v>
      </c>
      <c r="H8" s="144">
        <f t="shared" ref="H8:H15" si="0">+SUM(D8:G8)</f>
        <v>31.049999999999997</v>
      </c>
      <c r="I8" s="145" t="s">
        <v>27</v>
      </c>
      <c r="J8" s="51">
        <f t="shared" ref="J8:J15" si="1">+H8/$H$19*100</f>
        <v>13.814182560762383</v>
      </c>
      <c r="K8" s="146" t="s">
        <v>11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>
      <c r="A9" s="16" t="s">
        <v>354</v>
      </c>
      <c r="B9" s="632"/>
      <c r="C9" s="566"/>
      <c r="D9" s="570">
        <f t="shared" ref="D9:D15" si="2">B9*C9-F9-G9-E9</f>
        <v>0</v>
      </c>
      <c r="E9" s="627">
        <v>0</v>
      </c>
      <c r="F9" s="627">
        <f t="shared" ref="F9:F15" si="3">0*0</f>
        <v>0</v>
      </c>
      <c r="G9" s="633">
        <v>0</v>
      </c>
      <c r="H9" s="144">
        <f t="shared" si="0"/>
        <v>0</v>
      </c>
      <c r="I9" s="145" t="s">
        <v>27</v>
      </c>
      <c r="J9" s="51">
        <f t="shared" si="1"/>
        <v>0</v>
      </c>
      <c r="K9" s="146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>
      <c r="A10" s="16" t="s">
        <v>3</v>
      </c>
      <c r="B10" s="632">
        <v>9.6999999999999993</v>
      </c>
      <c r="C10" s="566">
        <v>2.76</v>
      </c>
      <c r="D10" s="570">
        <f t="shared" si="2"/>
        <v>7.0019999999999953</v>
      </c>
      <c r="E10" s="627">
        <v>15</v>
      </c>
      <c r="F10" s="627">
        <f>0.9*2.1</f>
        <v>1.8900000000000001</v>
      </c>
      <c r="G10" s="633">
        <f>1.2*2.4</f>
        <v>2.88</v>
      </c>
      <c r="H10" s="144">
        <f t="shared" si="0"/>
        <v>26.771999999999995</v>
      </c>
      <c r="I10" s="145" t="s">
        <v>27</v>
      </c>
      <c r="J10" s="51">
        <f t="shared" si="1"/>
        <v>11.91089518572401</v>
      </c>
      <c r="K10" s="146" t="s">
        <v>11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>
      <c r="A11" s="16" t="s">
        <v>355</v>
      </c>
      <c r="B11" s="632"/>
      <c r="C11" s="566"/>
      <c r="D11" s="570">
        <f t="shared" si="2"/>
        <v>0</v>
      </c>
      <c r="E11" s="627">
        <v>0</v>
      </c>
      <c r="F11" s="627">
        <f t="shared" si="3"/>
        <v>0</v>
      </c>
      <c r="G11" s="633">
        <v>0</v>
      </c>
      <c r="H11" s="144">
        <f t="shared" si="0"/>
        <v>0</v>
      </c>
      <c r="I11" s="145" t="s">
        <v>27</v>
      </c>
      <c r="J11" s="51">
        <f t="shared" si="1"/>
        <v>0</v>
      </c>
      <c r="K11" s="146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>
      <c r="A12" s="16" t="s">
        <v>5</v>
      </c>
      <c r="B12" s="632">
        <v>11.25</v>
      </c>
      <c r="C12" s="566">
        <v>2.76</v>
      </c>
      <c r="D12" s="570">
        <f t="shared" si="2"/>
        <v>25.189999999999998</v>
      </c>
      <c r="E12" s="627">
        <v>0</v>
      </c>
      <c r="F12" s="627">
        <v>2.5</v>
      </c>
      <c r="G12" s="633">
        <f>(1.2*2.4)+((0.4*0.6)*2)</f>
        <v>3.36</v>
      </c>
      <c r="H12" s="144">
        <f t="shared" si="0"/>
        <v>31.049999999999997</v>
      </c>
      <c r="I12" s="145" t="s">
        <v>27</v>
      </c>
      <c r="J12" s="51">
        <f t="shared" si="1"/>
        <v>13.814182560762383</v>
      </c>
      <c r="K12" s="146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>
      <c r="A13" s="16" t="s">
        <v>356</v>
      </c>
      <c r="B13" s="632"/>
      <c r="C13" s="566"/>
      <c r="D13" s="570">
        <f t="shared" si="2"/>
        <v>0</v>
      </c>
      <c r="E13" s="627">
        <v>0</v>
      </c>
      <c r="F13" s="627">
        <f t="shared" si="3"/>
        <v>0</v>
      </c>
      <c r="G13" s="633">
        <v>0</v>
      </c>
      <c r="H13" s="144">
        <f t="shared" si="0"/>
        <v>0</v>
      </c>
      <c r="I13" s="145" t="s">
        <v>27</v>
      </c>
      <c r="J13" s="51">
        <f t="shared" si="1"/>
        <v>0</v>
      </c>
      <c r="K13" s="146" t="s">
        <v>11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>
      <c r="A14" s="16" t="s">
        <v>4</v>
      </c>
      <c r="B14" s="632">
        <v>9.6999999999999993</v>
      </c>
      <c r="C14" s="566">
        <v>2.76</v>
      </c>
      <c r="D14" s="570">
        <f t="shared" si="2"/>
        <v>26.771999999999995</v>
      </c>
      <c r="E14" s="627">
        <v>0</v>
      </c>
      <c r="F14" s="627">
        <f t="shared" si="3"/>
        <v>0</v>
      </c>
      <c r="G14" s="633">
        <v>0</v>
      </c>
      <c r="H14" s="144">
        <f>+SUM(D14:G14)</f>
        <v>26.771999999999995</v>
      </c>
      <c r="I14" s="145" t="s">
        <v>27</v>
      </c>
      <c r="J14" s="51">
        <f t="shared" si="1"/>
        <v>11.91089518572401</v>
      </c>
      <c r="K14" s="146" t="s">
        <v>11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>
      <c r="A15" s="16" t="s">
        <v>357</v>
      </c>
      <c r="B15" s="634"/>
      <c r="C15" s="624"/>
      <c r="D15" s="637">
        <f t="shared" si="2"/>
        <v>0</v>
      </c>
      <c r="E15" s="635">
        <v>0</v>
      </c>
      <c r="F15" s="635">
        <f t="shared" si="3"/>
        <v>0</v>
      </c>
      <c r="G15" s="636">
        <v>0</v>
      </c>
      <c r="H15" s="144">
        <f t="shared" si="0"/>
        <v>0</v>
      </c>
      <c r="I15" s="145" t="s">
        <v>27</v>
      </c>
      <c r="J15" s="51">
        <f t="shared" si="1"/>
        <v>0</v>
      </c>
      <c r="K15" s="146" t="s">
        <v>11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>
      <c r="A16" s="16" t="s">
        <v>79</v>
      </c>
      <c r="B16" s="44"/>
      <c r="C16" s="44"/>
      <c r="D16" s="52">
        <f>SUM(D8:D15)</f>
        <v>72.013999999999982</v>
      </c>
      <c r="E16" s="52">
        <f>SUM(E8:E15)</f>
        <v>15</v>
      </c>
      <c r="F16" s="52">
        <f>SUM(F8:F15)</f>
        <v>4.3900000000000006</v>
      </c>
      <c r="G16" s="52">
        <f>SUM(G8:G15)</f>
        <v>24.24</v>
      </c>
      <c r="H16" s="52">
        <f>SUM(H8:H15)</f>
        <v>115.64399999999998</v>
      </c>
      <c r="I16" s="145" t="s">
        <v>27</v>
      </c>
      <c r="J16" s="51" t="s">
        <v>2</v>
      </c>
      <c r="K16" s="14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>
      <c r="A17" s="11"/>
      <c r="B17" s="17"/>
      <c r="C17" s="17"/>
      <c r="D17" s="52"/>
      <c r="E17" s="52"/>
      <c r="F17" s="52"/>
      <c r="G17" s="52"/>
      <c r="H17" s="52"/>
      <c r="I17" s="147"/>
      <c r="J17" s="51"/>
      <c r="K17" s="14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>
      <c r="A18" s="16" t="s">
        <v>6</v>
      </c>
      <c r="B18" s="44"/>
      <c r="C18" s="44"/>
      <c r="D18" s="571">
        <f>11.25*9.7</f>
        <v>109.12499999999999</v>
      </c>
      <c r="E18" s="143">
        <v>0</v>
      </c>
      <c r="F18" s="52" t="s">
        <v>27</v>
      </c>
      <c r="G18" s="52"/>
      <c r="H18" s="144">
        <f>+SUM(D18:G18)</f>
        <v>109.12499999999999</v>
      </c>
      <c r="I18" s="147" t="s">
        <v>27</v>
      </c>
      <c r="J18" s="51">
        <f>+H18/$H$19*100</f>
        <v>48.549844507027217</v>
      </c>
      <c r="K18" s="146" t="s">
        <v>11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>
      <c r="A19" s="21" t="s">
        <v>78</v>
      </c>
      <c r="B19" s="563"/>
      <c r="C19" s="563"/>
      <c r="D19" s="52" t="s">
        <v>2</v>
      </c>
      <c r="E19" s="52" t="s">
        <v>2</v>
      </c>
      <c r="F19" s="52" t="s">
        <v>2</v>
      </c>
      <c r="G19" s="52" t="s">
        <v>2</v>
      </c>
      <c r="H19" s="144">
        <f>+H18+H16</f>
        <v>224.76899999999995</v>
      </c>
      <c r="I19" s="147" t="s">
        <v>27</v>
      </c>
      <c r="J19" s="51">
        <f>SUM(J8:J18)</f>
        <v>100</v>
      </c>
      <c r="K19" s="146" t="s">
        <v>11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>
      <c r="A20" s="16"/>
      <c r="B20" s="44"/>
      <c r="C20" s="44"/>
      <c r="D20" s="20"/>
      <c r="E20" s="20"/>
      <c r="F20" s="20"/>
      <c r="G20" s="20"/>
      <c r="H20" s="22"/>
      <c r="I20" s="17"/>
      <c r="J20" s="18"/>
      <c r="K20" s="19"/>
      <c r="L20" s="7"/>
      <c r="M20" s="7" t="s">
        <v>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>
      <c r="A21" s="16" t="s">
        <v>74</v>
      </c>
      <c r="B21" s="44"/>
      <c r="C21" s="44"/>
      <c r="D21" s="571">
        <f>11.25*2+9.7*2</f>
        <v>41.9</v>
      </c>
      <c r="E21" s="20" t="s">
        <v>121</v>
      </c>
      <c r="F21" s="20"/>
      <c r="G21" s="20"/>
      <c r="H21" s="20"/>
      <c r="I21" s="17"/>
      <c r="J21" s="17"/>
      <c r="K21" s="1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14.25">
      <c r="A22" s="16" t="s">
        <v>25</v>
      </c>
      <c r="B22" s="44"/>
      <c r="C22" s="44"/>
      <c r="D22" s="571">
        <f>+D23*N5</f>
        <v>261.89999999999998</v>
      </c>
      <c r="E22" s="20" t="s">
        <v>122</v>
      </c>
      <c r="F22" s="20" t="s">
        <v>2</v>
      </c>
      <c r="G22" s="20" t="s">
        <v>2</v>
      </c>
      <c r="H22" s="22">
        <f>+SUM(D22:G22)</f>
        <v>261.89999999999998</v>
      </c>
      <c r="I22" s="20" t="s">
        <v>122</v>
      </c>
      <c r="J22" s="17"/>
      <c r="K22" s="1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>
      <c r="A23" s="23" t="s">
        <v>723</v>
      </c>
      <c r="B23" s="44"/>
      <c r="C23" s="44"/>
      <c r="D23" s="572">
        <f>11.25*9.7</f>
        <v>109.12499999999999</v>
      </c>
      <c r="E23" s="24" t="s">
        <v>27</v>
      </c>
      <c r="F23" s="24"/>
      <c r="G23" s="24"/>
      <c r="H23" s="148">
        <f>+SUM(D23:G23)</f>
        <v>109.12499999999999</v>
      </c>
      <c r="I23" s="25" t="s">
        <v>27</v>
      </c>
      <c r="J23" s="2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3.5" thickBot="1">
      <c r="A24" s="7"/>
      <c r="B24" s="7"/>
      <c r="C24" s="7"/>
      <c r="D24" s="7"/>
      <c r="E24" s="7"/>
      <c r="F24" s="7"/>
      <c r="G24" s="7"/>
      <c r="H24" s="44"/>
      <c r="I24" s="7"/>
      <c r="J24" s="7" t="s">
        <v>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3.5" thickBot="1">
      <c r="A25" s="39" t="s">
        <v>358</v>
      </c>
      <c r="B25" s="171"/>
      <c r="C25" s="171"/>
      <c r="D25" s="149">
        <f>+H52</f>
        <v>2.0597388316151202</v>
      </c>
      <c r="E25" s="150" t="s">
        <v>359</v>
      </c>
      <c r="F25" s="7"/>
      <c r="G25" s="140" t="s">
        <v>402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>
      <c r="A26" s="140" t="s">
        <v>6</v>
      </c>
      <c r="B26" s="140"/>
      <c r="C26" s="140"/>
      <c r="D26" s="64">
        <f>+H50</f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>
      <c r="A27" s="140" t="s">
        <v>140</v>
      </c>
      <c r="B27" s="140"/>
      <c r="C27" s="140"/>
      <c r="D27" s="64">
        <f>+H48</f>
        <v>1.0597388316151202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13.5" thickBot="1">
      <c r="A28" s="140" t="s">
        <v>0</v>
      </c>
      <c r="B28" s="140"/>
      <c r="C28" s="1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15" thickBot="1">
      <c r="A29" s="39" t="s">
        <v>360</v>
      </c>
      <c r="B29" s="171"/>
      <c r="C29" s="171"/>
      <c r="D29" s="149">
        <f>+H19/D22</f>
        <v>0.85822451317296666</v>
      </c>
      <c r="E29" s="151" t="s">
        <v>361</v>
      </c>
      <c r="F29" s="7"/>
      <c r="G29" s="140" t="s">
        <v>595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1:8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1:81" hidden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1:81" hidden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</row>
    <row r="36" spans="1:81" ht="13.5" hidden="1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81" hidden="1">
      <c r="A37" s="26" t="s">
        <v>90</v>
      </c>
      <c r="B37" s="564"/>
      <c r="C37" s="564"/>
      <c r="D37" s="27"/>
      <c r="E37" s="27"/>
      <c r="F37" s="27"/>
      <c r="G37" s="27"/>
      <c r="H37" s="27"/>
      <c r="I37" s="27"/>
      <c r="J37" s="2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</row>
    <row r="38" spans="1:81" hidden="1">
      <c r="A38" s="29"/>
      <c r="B38" s="17"/>
      <c r="C38" s="17"/>
      <c r="D38" s="8" t="s">
        <v>92</v>
      </c>
      <c r="E38" s="30"/>
      <c r="F38" s="13"/>
      <c r="G38" s="13"/>
      <c r="H38" s="13"/>
      <c r="I38" s="12"/>
      <c r="J38" s="1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</row>
    <row r="39" spans="1:81" ht="13.5" hidden="1" thickBot="1">
      <c r="A39" s="31"/>
      <c r="B39" s="17"/>
      <c r="C39" s="17"/>
      <c r="D39" s="141" t="s">
        <v>91</v>
      </c>
      <c r="E39" s="33" t="s">
        <v>24</v>
      </c>
      <c r="F39" s="152" t="s">
        <v>89</v>
      </c>
      <c r="G39" s="152" t="s">
        <v>22</v>
      </c>
      <c r="H39" s="152" t="s">
        <v>0</v>
      </c>
      <c r="I39" s="124"/>
      <c r="J39" s="33" t="s">
        <v>11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hidden="1">
      <c r="A40" s="16" t="s">
        <v>1</v>
      </c>
      <c r="B40" s="44"/>
      <c r="C40" s="44"/>
      <c r="D40" s="52">
        <f t="shared" ref="D40:H47" si="4">+D8/$H$23</f>
        <v>0.11958762886597937</v>
      </c>
      <c r="E40" s="52">
        <f t="shared" si="4"/>
        <v>0</v>
      </c>
      <c r="F40" s="52">
        <f t="shared" si="4"/>
        <v>0</v>
      </c>
      <c r="G40" s="52">
        <f t="shared" si="4"/>
        <v>0.16494845360824745</v>
      </c>
      <c r="H40" s="153">
        <f t="shared" si="4"/>
        <v>0.28453608247422679</v>
      </c>
      <c r="I40" s="147"/>
      <c r="J40" s="154">
        <f>+H40/$H$52*100</f>
        <v>13.814182560762383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</row>
    <row r="41" spans="1:81" hidden="1">
      <c r="A41" s="16" t="s">
        <v>354</v>
      </c>
      <c r="B41" s="44"/>
      <c r="C41" s="44"/>
      <c r="D41" s="52">
        <f t="shared" si="4"/>
        <v>0</v>
      </c>
      <c r="E41" s="52">
        <f t="shared" si="4"/>
        <v>0</v>
      </c>
      <c r="F41" s="52">
        <f t="shared" si="4"/>
        <v>0</v>
      </c>
      <c r="G41" s="52">
        <f t="shared" si="4"/>
        <v>0</v>
      </c>
      <c r="H41" s="153">
        <f t="shared" si="4"/>
        <v>0</v>
      </c>
      <c r="I41" s="147"/>
      <c r="J41" s="154">
        <f t="shared" ref="J41:J47" si="5">+H41/$H$52*100</f>
        <v>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</row>
    <row r="42" spans="1:81" hidden="1">
      <c r="A42" s="16" t="s">
        <v>3</v>
      </c>
      <c r="B42" s="44"/>
      <c r="C42" s="44"/>
      <c r="D42" s="52">
        <f t="shared" si="4"/>
        <v>6.416494845360822E-2</v>
      </c>
      <c r="E42" s="52">
        <f t="shared" si="4"/>
        <v>0.13745704467353953</v>
      </c>
      <c r="F42" s="52">
        <f t="shared" si="4"/>
        <v>1.7319587628865984E-2</v>
      </c>
      <c r="G42" s="52">
        <f t="shared" si="4"/>
        <v>2.6391752577319589E-2</v>
      </c>
      <c r="H42" s="153">
        <f t="shared" si="4"/>
        <v>0.24533333333333332</v>
      </c>
      <c r="I42" s="147"/>
      <c r="J42" s="154">
        <f t="shared" si="5"/>
        <v>11.91089518572401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</row>
    <row r="43" spans="1:81" hidden="1">
      <c r="A43" s="16" t="s">
        <v>355</v>
      </c>
      <c r="B43" s="44"/>
      <c r="C43" s="44"/>
      <c r="D43" s="52">
        <f t="shared" si="4"/>
        <v>0</v>
      </c>
      <c r="E43" s="52">
        <f t="shared" si="4"/>
        <v>0</v>
      </c>
      <c r="F43" s="52">
        <f t="shared" si="4"/>
        <v>0</v>
      </c>
      <c r="G43" s="52">
        <f t="shared" si="4"/>
        <v>0</v>
      </c>
      <c r="H43" s="153">
        <f t="shared" si="4"/>
        <v>0</v>
      </c>
      <c r="I43" s="147"/>
      <c r="J43" s="154">
        <f t="shared" si="5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</row>
    <row r="44" spans="1:81" hidden="1">
      <c r="A44" s="16" t="s">
        <v>5</v>
      </c>
      <c r="B44" s="44"/>
      <c r="C44" s="44"/>
      <c r="D44" s="52">
        <f t="shared" si="4"/>
        <v>0.23083619702176403</v>
      </c>
      <c r="E44" s="52">
        <f t="shared" si="4"/>
        <v>0</v>
      </c>
      <c r="F44" s="52">
        <f t="shared" si="4"/>
        <v>2.2909507445589922E-2</v>
      </c>
      <c r="G44" s="52">
        <f t="shared" si="4"/>
        <v>3.0790378006872857E-2</v>
      </c>
      <c r="H44" s="153">
        <f t="shared" si="4"/>
        <v>0.28453608247422679</v>
      </c>
      <c r="I44" s="147"/>
      <c r="J44" s="154">
        <f t="shared" si="5"/>
        <v>13.814182560762383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</row>
    <row r="45" spans="1:81" hidden="1">
      <c r="A45" s="16" t="s">
        <v>356</v>
      </c>
      <c r="B45" s="44"/>
      <c r="C45" s="44"/>
      <c r="D45" s="52">
        <f t="shared" si="4"/>
        <v>0</v>
      </c>
      <c r="E45" s="52">
        <f t="shared" si="4"/>
        <v>0</v>
      </c>
      <c r="F45" s="52">
        <f t="shared" si="4"/>
        <v>0</v>
      </c>
      <c r="G45" s="52">
        <f t="shared" si="4"/>
        <v>0</v>
      </c>
      <c r="H45" s="153">
        <f t="shared" si="4"/>
        <v>0</v>
      </c>
      <c r="I45" s="147"/>
      <c r="J45" s="154">
        <f t="shared" si="5"/>
        <v>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</row>
    <row r="46" spans="1:81" hidden="1">
      <c r="A46" s="16" t="s">
        <v>4</v>
      </c>
      <c r="B46" s="44"/>
      <c r="C46" s="44"/>
      <c r="D46" s="52">
        <f t="shared" si="4"/>
        <v>0.24533333333333332</v>
      </c>
      <c r="E46" s="52">
        <f t="shared" si="4"/>
        <v>0</v>
      </c>
      <c r="F46" s="52">
        <f t="shared" si="4"/>
        <v>0</v>
      </c>
      <c r="G46" s="52">
        <f t="shared" si="4"/>
        <v>0</v>
      </c>
      <c r="H46" s="153">
        <f t="shared" si="4"/>
        <v>0.24533333333333332</v>
      </c>
      <c r="I46" s="147"/>
      <c r="J46" s="154">
        <f t="shared" si="5"/>
        <v>11.91089518572401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</row>
    <row r="47" spans="1:81" hidden="1">
      <c r="A47" s="16" t="s">
        <v>357</v>
      </c>
      <c r="B47" s="44"/>
      <c r="C47" s="44"/>
      <c r="D47" s="52">
        <f t="shared" si="4"/>
        <v>0</v>
      </c>
      <c r="E47" s="52">
        <f t="shared" si="4"/>
        <v>0</v>
      </c>
      <c r="F47" s="52">
        <f t="shared" si="4"/>
        <v>0</v>
      </c>
      <c r="G47" s="52">
        <f t="shared" si="4"/>
        <v>0</v>
      </c>
      <c r="H47" s="153">
        <f t="shared" si="4"/>
        <v>0</v>
      </c>
      <c r="I47" s="147"/>
      <c r="J47" s="154">
        <f t="shared" si="5"/>
        <v>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</row>
    <row r="48" spans="1:81" hidden="1">
      <c r="A48" s="16" t="s">
        <v>93</v>
      </c>
      <c r="B48" s="44"/>
      <c r="C48" s="44"/>
      <c r="D48" s="52">
        <f>+D16/$H$23</f>
        <v>0.65992210767468495</v>
      </c>
      <c r="E48" s="52">
        <f>+E16/$H$23</f>
        <v>0.13745704467353953</v>
      </c>
      <c r="F48" s="52">
        <f>+F16/$H$23</f>
        <v>4.0229095074455913E-2</v>
      </c>
      <c r="G48" s="52">
        <f>+G16/$H$23</f>
        <v>0.22213058419243989</v>
      </c>
      <c r="H48" s="155">
        <f>SUM(H40:H47)</f>
        <v>1.0597388316151202</v>
      </c>
      <c r="I48" s="156" t="s">
        <v>2</v>
      </c>
      <c r="J48" s="154">
        <f>+H48/$H$52*100</f>
        <v>51.450155492972783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</row>
    <row r="49" spans="1:81" hidden="1">
      <c r="A49" s="11"/>
      <c r="B49" s="17"/>
      <c r="C49" s="17"/>
      <c r="D49" s="52"/>
      <c r="E49" s="52"/>
      <c r="F49" s="52"/>
      <c r="G49" s="52"/>
      <c r="H49" s="157"/>
      <c r="I49" s="156"/>
      <c r="J49" s="154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</row>
    <row r="50" spans="1:81" hidden="1">
      <c r="A50" s="16" t="s">
        <v>94</v>
      </c>
      <c r="B50" s="44"/>
      <c r="C50" s="44"/>
      <c r="D50" s="52">
        <f>+D18/$H$23</f>
        <v>1</v>
      </c>
      <c r="E50" s="52">
        <f>+E18/$H$23</f>
        <v>0</v>
      </c>
      <c r="F50" s="52"/>
      <c r="G50" s="52"/>
      <c r="H50" s="157">
        <f>+H18/$H$23</f>
        <v>1</v>
      </c>
      <c r="I50" s="147"/>
      <c r="J50" s="154">
        <f>+H50/$H$52*100</f>
        <v>48.549844507027217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81" hidden="1">
      <c r="A51" s="11"/>
      <c r="B51" s="17"/>
      <c r="C51" s="17"/>
      <c r="D51" s="51" t="s">
        <v>2</v>
      </c>
      <c r="E51" s="51"/>
      <c r="F51" s="51"/>
      <c r="G51" s="51" t="s">
        <v>2</v>
      </c>
      <c r="H51" s="157"/>
      <c r="I51" s="147"/>
      <c r="J51" s="15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81" hidden="1">
      <c r="A52" s="23" t="s">
        <v>95</v>
      </c>
      <c r="B52" s="248"/>
      <c r="C52" s="248"/>
      <c r="D52" s="159"/>
      <c r="E52" s="159"/>
      <c r="F52" s="159"/>
      <c r="G52" s="159"/>
      <c r="H52" s="160">
        <f>+H50+H48</f>
        <v>2.0597388316151202</v>
      </c>
      <c r="I52" s="161"/>
      <c r="J52" s="162">
        <f>SUM(J48:J50)</f>
        <v>100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81" hidden="1">
      <c r="A53" s="7"/>
      <c r="B53" s="7"/>
      <c r="C53" s="7"/>
      <c r="D53" s="37"/>
      <c r="E53" s="37"/>
      <c r="F53" s="37"/>
      <c r="G53" s="87">
        <f>+H52</f>
        <v>2.0597388316151202</v>
      </c>
      <c r="H53" s="37" t="s">
        <v>180</v>
      </c>
      <c r="I53" s="3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81" hidden="1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8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81">
      <c r="A56" s="8" t="s">
        <v>80</v>
      </c>
      <c r="B56" s="38"/>
      <c r="C56" s="38"/>
      <c r="D56" s="38"/>
      <c r="E56" s="9"/>
      <c r="F56" s="9"/>
      <c r="G56" s="9"/>
      <c r="H56" s="38"/>
      <c r="I56" s="9"/>
      <c r="J56" s="9"/>
      <c r="K56" s="9"/>
      <c r="L56" s="9"/>
      <c r="M56" s="9"/>
      <c r="N56" s="10"/>
      <c r="O56" s="17"/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81">
      <c r="A57" s="247" t="s">
        <v>403</v>
      </c>
      <c r="B57" s="76"/>
      <c r="C57" s="76"/>
      <c r="D57" s="17"/>
      <c r="E57" s="17"/>
      <c r="F57" s="17"/>
      <c r="G57" s="17"/>
      <c r="H57" s="44"/>
      <c r="I57" s="17"/>
      <c r="J57" s="17" t="s">
        <v>2</v>
      </c>
      <c r="K57" s="17"/>
      <c r="L57" s="17"/>
      <c r="M57" s="17"/>
      <c r="N57" s="19"/>
      <c r="O57" s="17"/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81">
      <c r="A58" s="11"/>
      <c r="B58" s="17"/>
      <c r="C58" s="17"/>
      <c r="D58" s="17"/>
      <c r="E58" s="17"/>
      <c r="F58" s="17"/>
      <c r="G58" s="17"/>
      <c r="H58" s="44"/>
      <c r="I58" s="17"/>
      <c r="J58" s="17"/>
      <c r="K58" s="17"/>
      <c r="L58" s="17"/>
      <c r="M58" s="17"/>
      <c r="N58" s="19"/>
      <c r="O58" s="17"/>
      <c r="P58" s="1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81">
      <c r="A59" s="247" t="s">
        <v>404</v>
      </c>
      <c r="B59" s="76"/>
      <c r="C59" s="76"/>
      <c r="D59" s="17"/>
      <c r="E59" s="638">
        <v>3</v>
      </c>
      <c r="F59" s="17"/>
      <c r="G59" s="17"/>
      <c r="H59" s="44"/>
      <c r="I59" s="17"/>
      <c r="J59" s="17" t="s">
        <v>2</v>
      </c>
      <c r="K59" s="17"/>
      <c r="L59" s="17"/>
      <c r="M59" s="17"/>
      <c r="N59" s="19"/>
      <c r="O59" s="17"/>
      <c r="P59" s="1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81">
      <c r="A60" s="247" t="s">
        <v>405</v>
      </c>
      <c r="B60" s="76"/>
      <c r="C60" s="76"/>
      <c r="D60" s="17"/>
      <c r="E60" s="638">
        <v>3.5</v>
      </c>
      <c r="F60" s="17"/>
      <c r="G60" s="17"/>
      <c r="H60" s="44"/>
      <c r="I60" s="17"/>
      <c r="J60" s="17"/>
      <c r="K60" s="17"/>
      <c r="L60" s="17"/>
      <c r="M60" s="17"/>
      <c r="N60" s="19"/>
      <c r="O60" s="17"/>
      <c r="P60" s="1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81">
      <c r="A61" s="247" t="s">
        <v>406</v>
      </c>
      <c r="B61" s="76"/>
      <c r="C61" s="76"/>
      <c r="D61" s="17"/>
      <c r="E61" s="638">
        <v>2</v>
      </c>
      <c r="F61" s="17"/>
      <c r="G61" s="17"/>
      <c r="H61" s="44"/>
      <c r="I61" s="17"/>
      <c r="J61" s="17" t="s">
        <v>2</v>
      </c>
      <c r="K61" s="17"/>
      <c r="L61" s="17"/>
      <c r="M61" s="17"/>
      <c r="N61" s="19"/>
      <c r="O61" s="17"/>
      <c r="P61" s="1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81">
      <c r="A62" s="247" t="s">
        <v>407</v>
      </c>
      <c r="B62" s="76"/>
      <c r="C62" s="76"/>
      <c r="D62" s="17"/>
      <c r="E62" s="638">
        <v>4</v>
      </c>
      <c r="F62" s="17"/>
      <c r="G62" s="17"/>
      <c r="H62" s="44"/>
      <c r="I62" s="17"/>
      <c r="J62" s="17"/>
      <c r="K62" s="17" t="s">
        <v>2</v>
      </c>
      <c r="L62" s="17"/>
      <c r="M62" s="17"/>
      <c r="N62" s="19"/>
      <c r="O62" s="17"/>
      <c r="P62" s="1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81">
      <c r="A63" s="11"/>
      <c r="B63" s="17"/>
      <c r="C63" s="17"/>
      <c r="D63" s="17"/>
      <c r="E63" s="17"/>
      <c r="F63" s="17"/>
      <c r="G63" s="17"/>
      <c r="H63" s="17"/>
      <c r="I63" s="17"/>
      <c r="J63" s="17"/>
      <c r="K63" s="17" t="s">
        <v>2</v>
      </c>
      <c r="L63" s="17"/>
      <c r="M63" s="17"/>
      <c r="N63" s="19"/>
      <c r="O63" s="17"/>
      <c r="P63" s="1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81">
      <c r="A64" s="16" t="s">
        <v>101</v>
      </c>
      <c r="B64" s="44"/>
      <c r="C64" s="44"/>
      <c r="D64" s="44"/>
      <c r="E64" s="44">
        <f>+E59*E62</f>
        <v>12</v>
      </c>
      <c r="F64" s="44" t="s">
        <v>27</v>
      </c>
      <c r="G64" s="17"/>
      <c r="H64" s="17"/>
      <c r="I64" s="17"/>
      <c r="J64" s="17"/>
      <c r="K64" s="17"/>
      <c r="L64" s="17"/>
      <c r="M64" s="17"/>
      <c r="N64" s="19"/>
      <c r="O64" s="17"/>
      <c r="P64" s="1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6" t="s">
        <v>102</v>
      </c>
      <c r="B65" s="44"/>
      <c r="C65" s="44"/>
      <c r="D65" s="44"/>
      <c r="E65" s="22">
        <f>(+E59*E62)/COS(ATAN((E60-E61)/E62))</f>
        <v>12.816005617976296</v>
      </c>
      <c r="F65" s="44" t="s">
        <v>27</v>
      </c>
      <c r="G65" s="17"/>
      <c r="H65" s="17"/>
      <c r="I65" s="17"/>
      <c r="J65" s="17"/>
      <c r="K65" s="17"/>
      <c r="L65" s="17"/>
      <c r="M65" s="17"/>
      <c r="N65" s="19"/>
      <c r="O65" s="17"/>
      <c r="P65" s="1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9"/>
      <c r="O66" s="17"/>
      <c r="P66" s="1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6" t="s">
        <v>726</v>
      </c>
      <c r="B67" s="17"/>
      <c r="C67" s="17"/>
      <c r="D67" s="17"/>
      <c r="E67" s="44">
        <f>+(E60+E61)/2</f>
        <v>2.75</v>
      </c>
      <c r="F67" s="44" t="s">
        <v>473</v>
      </c>
      <c r="G67" s="17"/>
      <c r="H67" s="17"/>
      <c r="I67" s="17"/>
      <c r="J67" s="17"/>
      <c r="K67" s="17"/>
      <c r="L67" s="17"/>
      <c r="M67" s="17"/>
      <c r="N67" s="19"/>
      <c r="O67" s="17"/>
      <c r="P67" s="1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6" t="s">
        <v>103</v>
      </c>
      <c r="B68" s="44"/>
      <c r="C68" s="44"/>
      <c r="D68" s="44"/>
      <c r="E68" s="22">
        <f>+(E60+E61)*E62/2</f>
        <v>11</v>
      </c>
      <c r="F68" s="44" t="s">
        <v>27</v>
      </c>
      <c r="G68" s="17"/>
      <c r="H68" s="17"/>
      <c r="I68" s="17"/>
      <c r="J68" s="17"/>
      <c r="K68" s="17"/>
      <c r="L68" s="17"/>
      <c r="M68" s="17"/>
      <c r="N68" s="19"/>
      <c r="O68" s="17"/>
      <c r="P68" s="1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23" t="s">
        <v>104</v>
      </c>
      <c r="B69" s="248"/>
      <c r="C69" s="248"/>
      <c r="D69" s="248"/>
      <c r="E69" s="248">
        <f>+E68*E59</f>
        <v>33</v>
      </c>
      <c r="F69" s="248" t="s">
        <v>26</v>
      </c>
      <c r="G69" s="25"/>
      <c r="H69" s="25"/>
      <c r="I69" s="25"/>
      <c r="J69" s="25"/>
      <c r="K69" s="25"/>
      <c r="L69" s="25"/>
      <c r="M69" s="25"/>
      <c r="N69" s="15"/>
      <c r="O69" s="17"/>
      <c r="P69" s="1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</sheetData>
  <mergeCells count="6">
    <mergeCell ref="J5:K7"/>
    <mergeCell ref="B5:B7"/>
    <mergeCell ref="D5:E6"/>
    <mergeCell ref="F5:F7"/>
    <mergeCell ref="G5:G7"/>
    <mergeCell ref="H5:H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ignoredErrors>
    <ignoredError sqref="F1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zoomScaleNormal="100" workbookViewId="0">
      <selection activeCell="I14" sqref="I14"/>
    </sheetView>
  </sheetViews>
  <sheetFormatPr baseColWidth="10" defaultColWidth="9.140625" defaultRowHeight="12.75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3" max="23" width="11.5703125" customWidth="1"/>
    <col min="27" max="27" width="11" customWidth="1"/>
    <col min="29" max="29" width="11.42578125" customWidth="1"/>
  </cols>
  <sheetData>
    <row r="1" spans="1:40">
      <c r="A1" s="6" t="s">
        <v>272</v>
      </c>
      <c r="B1" s="7"/>
      <c r="C1" s="7"/>
      <c r="D1" s="7"/>
      <c r="E1" s="7"/>
      <c r="F1" s="7"/>
      <c r="G1" s="7" t="s">
        <v>2</v>
      </c>
      <c r="H1" s="7"/>
      <c r="I1" s="7"/>
      <c r="J1" s="7"/>
      <c r="K1" s="7"/>
      <c r="L1" s="7"/>
      <c r="M1" s="7"/>
      <c r="N1" s="7"/>
      <c r="O1" s="7"/>
      <c r="P1" s="7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</row>
    <row r="2" spans="1:40">
      <c r="A2" s="140" t="s">
        <v>353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3"/>
      <c r="O2" s="163"/>
      <c r="P2" s="7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</row>
    <row r="3" spans="1:40" ht="13.5" thickBot="1">
      <c r="A3" s="14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6"/>
      <c r="R3" s="176"/>
      <c r="S3" s="176"/>
      <c r="T3" s="176"/>
      <c r="U3" s="176"/>
      <c r="V3" s="458" t="s">
        <v>661</v>
      </c>
      <c r="W3" s="459"/>
      <c r="X3" s="459"/>
      <c r="Y3" s="459"/>
      <c r="Z3" s="459"/>
      <c r="AA3" s="459"/>
      <c r="AB3" s="460">
        <v>1</v>
      </c>
      <c r="AC3" s="461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</row>
    <row r="4" spans="1:40">
      <c r="A4" s="6" t="s">
        <v>84</v>
      </c>
      <c r="B4" s="95" t="str">
        <f>VLOOKUP(Lugar!E84,Lugar!A65:C84,2)</f>
        <v>Rama Caída</v>
      </c>
      <c r="C4" s="434"/>
      <c r="D4" s="7" t="s">
        <v>96</v>
      </c>
      <c r="E4" s="95">
        <f>VLOOKUP(Lugar!E84,Lugar!A65:E84,3)</f>
        <v>1631.2</v>
      </c>
      <c r="F4" s="7" t="s">
        <v>97</v>
      </c>
      <c r="G4" s="7"/>
      <c r="H4" s="87">
        <f>1.1516-0.0022*E4</f>
        <v>-2.4370400000000005</v>
      </c>
      <c r="I4" s="7" t="s">
        <v>98</v>
      </c>
      <c r="J4" s="7"/>
      <c r="K4" s="7"/>
      <c r="L4" s="68" t="s">
        <v>318</v>
      </c>
      <c r="M4" s="27"/>
      <c r="N4" s="27"/>
      <c r="O4" s="27"/>
      <c r="P4" s="177" t="s">
        <v>143</v>
      </c>
      <c r="Q4" s="177"/>
      <c r="R4" s="177"/>
      <c r="S4" s="178"/>
      <c r="T4" s="176"/>
      <c r="U4" s="176"/>
      <c r="V4" s="462"/>
      <c r="W4" s="463"/>
      <c r="X4" s="463"/>
      <c r="Y4" s="463"/>
      <c r="Z4" s="463"/>
      <c r="AA4" s="463"/>
      <c r="AB4" s="463"/>
      <c r="AC4" s="464"/>
      <c r="AD4" s="163"/>
      <c r="AE4" s="163"/>
      <c r="AF4" s="176"/>
      <c r="AG4" s="176"/>
      <c r="AH4" s="176"/>
      <c r="AI4" s="176"/>
      <c r="AJ4" s="176"/>
      <c r="AK4" s="176"/>
      <c r="AL4" s="176"/>
      <c r="AM4" s="176"/>
      <c r="AN4" s="176"/>
    </row>
    <row r="5" spans="1:40" ht="13.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9"/>
      <c r="M5" s="17"/>
      <c r="N5" s="17"/>
      <c r="O5" s="17"/>
      <c r="P5" s="169" t="s">
        <v>144</v>
      </c>
      <c r="Q5" s="169"/>
      <c r="R5" s="169"/>
      <c r="S5" s="241"/>
      <c r="T5" s="176"/>
      <c r="U5" s="176"/>
      <c r="V5" s="8" t="s">
        <v>105</v>
      </c>
      <c r="W5" s="9"/>
      <c r="X5" s="9"/>
      <c r="Y5" s="9"/>
      <c r="Z5" s="9"/>
      <c r="AA5" s="9"/>
      <c r="AB5" s="9"/>
      <c r="AC5" s="10"/>
      <c r="AD5" s="17"/>
      <c r="AE5" s="7"/>
      <c r="AF5" s="176"/>
      <c r="AG5" s="176"/>
      <c r="AH5" s="176"/>
      <c r="AI5" s="176"/>
      <c r="AJ5" s="176"/>
      <c r="AK5" s="176"/>
      <c r="AL5" s="176"/>
      <c r="AM5" s="176"/>
      <c r="AN5" s="176"/>
    </row>
    <row r="6" spans="1:40" ht="13.5" thickBot="1">
      <c r="A6" s="39" t="s">
        <v>81</v>
      </c>
      <c r="B6" s="40"/>
      <c r="C6" s="40"/>
      <c r="D6" s="40"/>
      <c r="E6" s="40"/>
      <c r="F6" s="40"/>
      <c r="G6" s="40"/>
      <c r="H6" s="41"/>
      <c r="I6" s="7"/>
      <c r="J6" s="7"/>
      <c r="K6" s="7"/>
      <c r="L6" s="43" t="s">
        <v>137</v>
      </c>
      <c r="M6" s="71" t="s">
        <v>108</v>
      </c>
      <c r="N6" s="72" t="s">
        <v>76</v>
      </c>
      <c r="O6" s="73" t="s">
        <v>76</v>
      </c>
      <c r="P6" s="7"/>
      <c r="Q6" s="17"/>
      <c r="R6" s="17"/>
      <c r="S6" s="55"/>
      <c r="T6" s="176"/>
      <c r="U6" s="176"/>
      <c r="V6" s="11" t="s">
        <v>99</v>
      </c>
      <c r="W6" s="17"/>
      <c r="X6" s="17"/>
      <c r="Y6" s="17"/>
      <c r="Z6" s="2">
        <v>0.85</v>
      </c>
      <c r="AA6" s="17"/>
      <c r="AB6" s="17" t="s">
        <v>329</v>
      </c>
      <c r="AC6" s="19" t="s">
        <v>332</v>
      </c>
      <c r="AD6" s="17"/>
      <c r="AE6" s="7"/>
      <c r="AF6" s="176"/>
      <c r="AG6" s="176"/>
      <c r="AH6" s="176"/>
      <c r="AI6" s="176"/>
      <c r="AJ6" s="176"/>
      <c r="AK6" s="176"/>
      <c r="AL6" s="176"/>
      <c r="AM6" s="176"/>
      <c r="AN6" s="176"/>
    </row>
    <row r="7" spans="1:40">
      <c r="A7" s="42"/>
      <c r="B7" s="27"/>
      <c r="C7" s="27"/>
      <c r="D7" s="27"/>
      <c r="E7" s="27"/>
      <c r="F7" s="27"/>
      <c r="G7" s="27"/>
      <c r="H7" s="28"/>
      <c r="I7" s="7"/>
      <c r="J7" s="7"/>
      <c r="K7" s="7"/>
      <c r="L7" s="43" t="s">
        <v>138</v>
      </c>
      <c r="M7" s="76" t="s">
        <v>139</v>
      </c>
      <c r="N7" s="76" t="s">
        <v>135</v>
      </c>
      <c r="O7" s="76" t="s">
        <v>136</v>
      </c>
      <c r="P7" s="7"/>
      <c r="Q7" s="17"/>
      <c r="R7" s="17"/>
      <c r="S7" s="55"/>
      <c r="T7" s="176"/>
      <c r="U7" s="176"/>
      <c r="V7" s="11" t="s">
        <v>21</v>
      </c>
      <c r="W7" s="11"/>
      <c r="X7" s="44">
        <f>+E4*F21*(1-Q37)*0.024*AB3/Z6</f>
        <v>4350.4848696441004</v>
      </c>
      <c r="Y7" s="44" t="s">
        <v>100</v>
      </c>
      <c r="Z7" s="17"/>
      <c r="AA7" s="17"/>
      <c r="AB7" s="17" t="s">
        <v>330</v>
      </c>
      <c r="AC7" s="19" t="s">
        <v>331</v>
      </c>
      <c r="AD7" s="17"/>
      <c r="AE7" s="7"/>
      <c r="AF7" s="176"/>
      <c r="AG7" s="176"/>
      <c r="AH7" s="176"/>
      <c r="AI7" s="176"/>
      <c r="AJ7" s="176"/>
      <c r="AK7" s="176"/>
      <c r="AL7" s="176"/>
      <c r="AM7" s="176"/>
      <c r="AN7" s="176"/>
    </row>
    <row r="8" spans="1:40">
      <c r="A8" s="43" t="s">
        <v>7</v>
      </c>
      <c r="B8" s="44"/>
      <c r="C8" s="44" t="s">
        <v>8</v>
      </c>
      <c r="D8" s="45" t="s">
        <v>82</v>
      </c>
      <c r="E8" s="44"/>
      <c r="F8" s="44" t="s">
        <v>10</v>
      </c>
      <c r="G8" s="44" t="s">
        <v>77</v>
      </c>
      <c r="H8" s="46"/>
      <c r="I8" s="6"/>
      <c r="J8" s="163"/>
      <c r="K8" s="7"/>
      <c r="L8" s="43"/>
      <c r="M8" s="76"/>
      <c r="N8" s="76"/>
      <c r="O8" s="76"/>
      <c r="P8" s="7"/>
      <c r="Q8" s="17"/>
      <c r="R8" s="17"/>
      <c r="S8" s="55"/>
      <c r="T8" s="176"/>
      <c r="U8" s="176"/>
      <c r="V8" s="11" t="s">
        <v>662</v>
      </c>
      <c r="W8" s="17"/>
      <c r="X8" s="34">
        <f>+X7</f>
        <v>4350.4848696441004</v>
      </c>
      <c r="Y8" s="17"/>
      <c r="Z8" s="17"/>
      <c r="AA8" s="17"/>
      <c r="AB8" s="179">
        <v>147</v>
      </c>
      <c r="AC8" s="132">
        <f>+AB8*X7</f>
        <v>639521.27583768277</v>
      </c>
      <c r="AD8" s="17"/>
      <c r="AE8" s="7"/>
      <c r="AF8" s="176"/>
      <c r="AG8" s="176"/>
      <c r="AH8" s="176"/>
      <c r="AI8" s="176"/>
      <c r="AJ8" s="176"/>
      <c r="AK8" s="176"/>
      <c r="AL8" s="176"/>
      <c r="AM8" s="176"/>
      <c r="AN8" s="176"/>
    </row>
    <row r="9" spans="1:40" ht="13.5" thickBot="1">
      <c r="A9" s="31"/>
      <c r="B9" s="47"/>
      <c r="C9" s="47"/>
      <c r="D9" s="48" t="s">
        <v>83</v>
      </c>
      <c r="E9" s="47"/>
      <c r="F9" s="47" t="s">
        <v>320</v>
      </c>
      <c r="G9" s="48" t="s">
        <v>362</v>
      </c>
      <c r="H9" s="49"/>
      <c r="I9" s="7"/>
      <c r="J9" s="7"/>
      <c r="K9" s="50"/>
      <c r="L9" s="69" t="s">
        <v>85</v>
      </c>
      <c r="M9" s="129">
        <v>0</v>
      </c>
      <c r="N9" s="84">
        <f>+mensual!V23</f>
        <v>0.24323509295457896</v>
      </c>
      <c r="O9" s="82">
        <f>+N9*M9/$M$36</f>
        <v>0</v>
      </c>
      <c r="P9" s="7"/>
      <c r="Q9" s="17" t="s">
        <v>11</v>
      </c>
      <c r="R9" s="17"/>
      <c r="S9" s="55"/>
      <c r="T9" s="176"/>
      <c r="U9" s="176"/>
      <c r="V9" s="11" t="s">
        <v>325</v>
      </c>
      <c r="W9" s="17"/>
      <c r="X9" s="34">
        <f>X7/586.06*45</f>
        <v>334.04739981227954</v>
      </c>
      <c r="Y9" s="17"/>
      <c r="Z9" s="17"/>
      <c r="AA9" s="17"/>
      <c r="AB9" s="179">
        <v>400</v>
      </c>
      <c r="AC9" s="132">
        <f>+AB9*X9</f>
        <v>133618.95992491182</v>
      </c>
      <c r="AD9" s="17"/>
      <c r="AE9" s="7"/>
      <c r="AF9" s="176"/>
      <c r="AG9" s="176"/>
      <c r="AH9" s="176"/>
      <c r="AI9" s="176"/>
      <c r="AJ9" s="176"/>
      <c r="AK9" s="176"/>
      <c r="AL9" s="176"/>
      <c r="AM9" s="176"/>
      <c r="AN9" s="176"/>
    </row>
    <row r="10" spans="1:40">
      <c r="A10" s="42" t="s">
        <v>69</v>
      </c>
      <c r="B10" s="27"/>
      <c r="C10" s="273">
        <f>+superficies!D16</f>
        <v>72.013999999999982</v>
      </c>
      <c r="D10" s="164">
        <v>0.65</v>
      </c>
      <c r="E10" s="165"/>
      <c r="F10" s="165">
        <f t="shared" ref="F10:F15" si="0">C10*D10</f>
        <v>46.809099999999987</v>
      </c>
      <c r="G10" s="277">
        <f t="shared" ref="G10:G16" si="1">+(F10/$F$21)*100</f>
        <v>21.329045114940396</v>
      </c>
      <c r="H10" s="166" t="s">
        <v>11</v>
      </c>
      <c r="I10" s="50"/>
      <c r="J10" s="50"/>
      <c r="K10" s="50"/>
      <c r="L10" s="69" t="s">
        <v>109</v>
      </c>
      <c r="M10" s="129">
        <f>+superficies!G8</f>
        <v>18</v>
      </c>
      <c r="N10" s="84">
        <f>+mensual!V24</f>
        <v>0.56959306965948231</v>
      </c>
      <c r="O10" s="82">
        <f>+N10*M10/$M$36</f>
        <v>0.56959306965948231</v>
      </c>
      <c r="P10" s="7"/>
      <c r="Q10" s="17" t="s">
        <v>11</v>
      </c>
      <c r="R10" s="17"/>
      <c r="S10" s="55"/>
      <c r="T10" s="176"/>
      <c r="U10" s="176"/>
      <c r="V10" s="11" t="s">
        <v>326</v>
      </c>
      <c r="W10" s="17"/>
      <c r="X10" s="34">
        <f>X7/10.82</f>
        <v>402.07808407061924</v>
      </c>
      <c r="Y10" s="17"/>
      <c r="Z10" s="17"/>
      <c r="AA10" s="17"/>
      <c r="AB10" s="179">
        <v>107.5</v>
      </c>
      <c r="AC10" s="132">
        <f>+AB10*X10</f>
        <v>43223.39403759157</v>
      </c>
      <c r="AD10" s="17"/>
      <c r="AE10" s="7"/>
      <c r="AF10" s="176"/>
      <c r="AG10" s="176"/>
      <c r="AH10" s="176"/>
      <c r="AI10" s="176"/>
      <c r="AJ10" s="176"/>
      <c r="AK10" s="176"/>
      <c r="AL10" s="176"/>
      <c r="AM10" s="176"/>
      <c r="AN10" s="176"/>
    </row>
    <row r="11" spans="1:40">
      <c r="A11" s="29" t="s">
        <v>70</v>
      </c>
      <c r="B11" s="17"/>
      <c r="C11" s="274">
        <f>+superficies!E16</f>
        <v>15</v>
      </c>
      <c r="D11" s="3">
        <v>0.65</v>
      </c>
      <c r="E11" s="51"/>
      <c r="F11" s="51">
        <f t="shared" si="0"/>
        <v>9.75</v>
      </c>
      <c r="G11" s="18">
        <f t="shared" si="1"/>
        <v>4.4426872097662402</v>
      </c>
      <c r="H11" s="167" t="s">
        <v>11</v>
      </c>
      <c r="I11" s="50"/>
      <c r="J11" s="50"/>
      <c r="K11" s="50"/>
      <c r="L11" s="69" t="s">
        <v>110</v>
      </c>
      <c r="M11" s="129">
        <v>0</v>
      </c>
      <c r="N11" s="84">
        <f>+mensual!V25</f>
        <v>0.55287102012605016</v>
      </c>
      <c r="O11" s="82">
        <f>+N11*M11/$M$36</f>
        <v>0</v>
      </c>
      <c r="P11" s="7"/>
      <c r="Q11" s="17" t="s">
        <v>11</v>
      </c>
      <c r="R11" s="17"/>
      <c r="S11" s="55"/>
      <c r="T11" s="176"/>
      <c r="U11" s="176"/>
      <c r="V11" s="11" t="s">
        <v>327</v>
      </c>
      <c r="W11" s="17"/>
      <c r="X11" s="34">
        <f>X7/8.95</f>
        <v>486.08769493230176</v>
      </c>
      <c r="Y11" s="17"/>
      <c r="Z11" s="17"/>
      <c r="AA11" s="17"/>
      <c r="AB11" s="179">
        <v>0</v>
      </c>
      <c r="AC11" s="132">
        <f>+AB11*X11</f>
        <v>0</v>
      </c>
      <c r="AD11" s="17"/>
      <c r="AE11" s="7"/>
      <c r="AF11" s="176"/>
      <c r="AG11" s="176"/>
      <c r="AH11" s="176"/>
      <c r="AI11" s="176"/>
      <c r="AJ11" s="176"/>
      <c r="AK11" s="176"/>
      <c r="AL11" s="176"/>
      <c r="AM11" s="176"/>
      <c r="AN11" s="176"/>
    </row>
    <row r="12" spans="1:40">
      <c r="A12" s="29" t="s">
        <v>71</v>
      </c>
      <c r="B12" s="17"/>
      <c r="C12" s="274">
        <f>+superficies!D18</f>
        <v>109.12499999999999</v>
      </c>
      <c r="D12" s="3">
        <v>0.4</v>
      </c>
      <c r="E12" s="51"/>
      <c r="F12" s="51">
        <f t="shared" si="0"/>
        <v>43.65</v>
      </c>
      <c r="G12" s="18">
        <f t="shared" si="1"/>
        <v>19.889568892953474</v>
      </c>
      <c r="H12" s="167" t="s">
        <v>11</v>
      </c>
      <c r="I12" s="50"/>
      <c r="J12" s="50"/>
      <c r="K12" s="50"/>
      <c r="L12" s="69" t="s">
        <v>111</v>
      </c>
      <c r="M12" s="130">
        <v>0</v>
      </c>
      <c r="N12" s="84">
        <f>+mensual!V26</f>
        <v>0.64340666910350841</v>
      </c>
      <c r="O12" s="82">
        <f>+N12*M12/$M$36</f>
        <v>0</v>
      </c>
      <c r="P12" s="7"/>
      <c r="Q12" s="17"/>
      <c r="R12" s="17"/>
      <c r="S12" s="55"/>
      <c r="T12" s="176"/>
      <c r="U12" s="176"/>
      <c r="V12" s="14" t="s">
        <v>328</v>
      </c>
      <c r="W12" s="25"/>
      <c r="X12" s="36">
        <f>X7/3.48</f>
        <v>1250.1393303575001</v>
      </c>
      <c r="Y12" s="25"/>
      <c r="Z12" s="25"/>
      <c r="AA12" s="25"/>
      <c r="AB12" s="180">
        <v>180</v>
      </c>
      <c r="AC12" s="133">
        <f>+AB12*X12</f>
        <v>225025.07946435001</v>
      </c>
      <c r="AD12" s="17"/>
      <c r="AE12" s="7"/>
      <c r="AF12" s="176"/>
      <c r="AG12" s="176"/>
      <c r="AH12" s="176"/>
      <c r="AI12" s="176"/>
      <c r="AJ12" s="176"/>
      <c r="AK12" s="176"/>
      <c r="AL12" s="176"/>
      <c r="AM12" s="176"/>
      <c r="AN12" s="176"/>
    </row>
    <row r="13" spans="1:40">
      <c r="A13" s="29" t="s">
        <v>72</v>
      </c>
      <c r="B13" s="17"/>
      <c r="C13" s="274">
        <f>+superficies!E18</f>
        <v>0</v>
      </c>
      <c r="D13" s="3">
        <v>0.34</v>
      </c>
      <c r="E13" s="51"/>
      <c r="F13" s="51">
        <f t="shared" si="0"/>
        <v>0</v>
      </c>
      <c r="G13" s="18">
        <f t="shared" si="1"/>
        <v>0</v>
      </c>
      <c r="H13" s="167" t="s">
        <v>11</v>
      </c>
      <c r="I13" s="50"/>
      <c r="J13" s="50"/>
      <c r="K13" s="50"/>
      <c r="L13" s="29"/>
      <c r="M13" s="17"/>
      <c r="N13" s="82"/>
      <c r="O13" s="82"/>
      <c r="P13" s="7"/>
      <c r="Q13" s="17"/>
      <c r="R13" s="17"/>
      <c r="S13" s="55"/>
      <c r="T13" s="176"/>
      <c r="U13" s="176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76"/>
      <c r="AG13" s="176"/>
      <c r="AH13" s="176"/>
      <c r="AI13" s="176"/>
      <c r="AJ13" s="176"/>
      <c r="AK13" s="176"/>
      <c r="AL13" s="176"/>
      <c r="AM13" s="176"/>
      <c r="AN13" s="176"/>
    </row>
    <row r="14" spans="1:40">
      <c r="A14" s="29" t="s">
        <v>73</v>
      </c>
      <c r="B14" s="17"/>
      <c r="C14" s="274">
        <f>+superficies!G12</f>
        <v>3.36</v>
      </c>
      <c r="D14" s="3">
        <v>4.3</v>
      </c>
      <c r="E14" s="51"/>
      <c r="F14" s="51">
        <f t="shared" si="0"/>
        <v>14.447999999999999</v>
      </c>
      <c r="G14" s="18">
        <f t="shared" si="1"/>
        <v>6.583378954533603</v>
      </c>
      <c r="H14" s="167" t="s">
        <v>11</v>
      </c>
      <c r="I14" s="50"/>
      <c r="J14" s="50"/>
      <c r="K14" s="50"/>
      <c r="L14" s="75" t="s">
        <v>140</v>
      </c>
      <c r="M14" s="71" t="s">
        <v>108</v>
      </c>
      <c r="N14" s="85" t="s">
        <v>76</v>
      </c>
      <c r="O14" s="83" t="s">
        <v>76</v>
      </c>
      <c r="P14" s="7"/>
      <c r="Q14" s="17"/>
      <c r="R14" s="17"/>
      <c r="S14" s="55"/>
      <c r="T14" s="176"/>
      <c r="U14" s="176"/>
      <c r="V14" s="17"/>
      <c r="W14" s="17"/>
      <c r="X14" s="17"/>
      <c r="Y14" s="17"/>
      <c r="Z14" s="17"/>
      <c r="AA14" s="17"/>
      <c r="AB14" s="17"/>
      <c r="AC14" s="17"/>
      <c r="AD14" s="17"/>
      <c r="AE14" s="7"/>
      <c r="AF14" s="176"/>
      <c r="AG14" s="176"/>
      <c r="AH14" s="176"/>
      <c r="AI14" s="176"/>
      <c r="AJ14" s="176"/>
      <c r="AK14" s="176"/>
      <c r="AL14" s="176"/>
      <c r="AM14" s="176"/>
      <c r="AN14" s="176"/>
    </row>
    <row r="15" spans="1:40">
      <c r="A15" s="29" t="s">
        <v>89</v>
      </c>
      <c r="B15" s="17"/>
      <c r="C15" s="274">
        <f>+superficies!F16</f>
        <v>4.3900000000000006</v>
      </c>
      <c r="D15" s="3">
        <v>2.64</v>
      </c>
      <c r="E15" s="51"/>
      <c r="F15" s="51">
        <f t="shared" si="0"/>
        <v>11.589600000000003</v>
      </c>
      <c r="G15" s="18">
        <f t="shared" si="1"/>
        <v>5.2809197626981366</v>
      </c>
      <c r="H15" s="167" t="s">
        <v>11</v>
      </c>
      <c r="I15" s="50"/>
      <c r="J15" s="50"/>
      <c r="K15" s="50"/>
      <c r="L15" s="75" t="s">
        <v>141</v>
      </c>
      <c r="M15" s="17" t="s">
        <v>139</v>
      </c>
      <c r="N15" s="82" t="s">
        <v>135</v>
      </c>
      <c r="O15" s="82" t="s">
        <v>136</v>
      </c>
      <c r="P15" s="7"/>
      <c r="Q15" s="17"/>
      <c r="R15" s="17"/>
      <c r="S15" s="55"/>
      <c r="T15" s="176"/>
      <c r="U15" s="176"/>
      <c r="V15" s="8" t="s">
        <v>106</v>
      </c>
      <c r="W15" s="9"/>
      <c r="X15" s="9"/>
      <c r="Y15" s="9"/>
      <c r="Z15" s="9"/>
      <c r="AA15" s="10"/>
      <c r="AB15" s="17"/>
      <c r="AC15" s="17"/>
      <c r="AD15" s="7"/>
      <c r="AE15" s="7"/>
      <c r="AF15" s="176"/>
      <c r="AG15" s="176"/>
      <c r="AH15" s="176"/>
      <c r="AI15" s="176"/>
      <c r="AJ15" s="176"/>
      <c r="AK15" s="176"/>
      <c r="AL15" s="176"/>
      <c r="AM15" s="176"/>
      <c r="AN15" s="176"/>
    </row>
    <row r="16" spans="1:40">
      <c r="A16" s="29" t="s">
        <v>13</v>
      </c>
      <c r="B16" s="17"/>
      <c r="C16" s="274">
        <f>+superficies!D21</f>
        <v>41.9</v>
      </c>
      <c r="D16" s="168">
        <v>0</v>
      </c>
      <c r="E16" s="51"/>
      <c r="F16" s="51">
        <f>IF(D16=0,((1.27*+superficies!D21)/1.024),(1.27*+superficies!D21)/(1.024+1/D16))</f>
        <v>51.9658203125</v>
      </c>
      <c r="G16" s="18">
        <f t="shared" si="1"/>
        <v>23.678757461267121</v>
      </c>
      <c r="H16" s="167" t="s">
        <v>11</v>
      </c>
      <c r="I16" s="50"/>
      <c r="J16" s="50"/>
      <c r="K16" s="50"/>
      <c r="L16" s="69" t="s">
        <v>124</v>
      </c>
      <c r="M16" s="130">
        <v>0</v>
      </c>
      <c r="N16" s="84">
        <f>+mensual!V27</f>
        <v>0.27256440747557814</v>
      </c>
      <c r="O16" s="82">
        <f t="shared" ref="O16:O21" si="2">+N16*M16/$M$36</f>
        <v>0</v>
      </c>
      <c r="P16" s="7"/>
      <c r="Q16" s="17"/>
      <c r="R16" s="17"/>
      <c r="S16" s="55"/>
      <c r="T16" s="176"/>
      <c r="U16" s="176"/>
      <c r="V16" s="8" t="s">
        <v>7</v>
      </c>
      <c r="W16" s="30"/>
      <c r="X16" s="56" t="s">
        <v>8</v>
      </c>
      <c r="Y16" s="8" t="s">
        <v>9</v>
      </c>
      <c r="Z16" s="30"/>
      <c r="AA16" s="56" t="s">
        <v>16</v>
      </c>
      <c r="AB16" s="17"/>
      <c r="AC16" s="17"/>
      <c r="AD16" s="7"/>
      <c r="AE16" s="7"/>
      <c r="AF16" s="176"/>
      <c r="AG16" s="176"/>
      <c r="AH16" s="176"/>
      <c r="AI16" s="176"/>
      <c r="AJ16" s="176"/>
      <c r="AK16" s="176"/>
      <c r="AL16" s="176"/>
      <c r="AM16" s="176"/>
      <c r="AN16" s="176"/>
    </row>
    <row r="17" spans="1:40" ht="14.25">
      <c r="A17" s="29" t="s">
        <v>14</v>
      </c>
      <c r="B17" s="17" t="s">
        <v>104</v>
      </c>
      <c r="C17" s="17">
        <f>+superficies!D22</f>
        <v>261.89999999999998</v>
      </c>
      <c r="D17" s="17" t="s">
        <v>122</v>
      </c>
      <c r="E17" s="17"/>
      <c r="F17" s="51">
        <f>0.35*$D20*0.9*C17</f>
        <v>41.249249999999996</v>
      </c>
      <c r="G17" s="18">
        <f>+(F17/$F$21)*100</f>
        <v>18.795642603841035</v>
      </c>
      <c r="H17" s="354" t="s">
        <v>11</v>
      </c>
      <c r="I17" s="50"/>
      <c r="J17" s="50"/>
      <c r="K17" s="50"/>
      <c r="L17" s="69" t="s">
        <v>112</v>
      </c>
      <c r="M17" s="130">
        <v>0</v>
      </c>
      <c r="N17" s="84">
        <f>+mensual!V28</f>
        <v>0.42655989831729135</v>
      </c>
      <c r="O17" s="82">
        <f t="shared" si="2"/>
        <v>0</v>
      </c>
      <c r="P17" s="7"/>
      <c r="Q17" s="17"/>
      <c r="R17" s="17"/>
      <c r="S17" s="55"/>
      <c r="T17" s="176"/>
      <c r="U17" s="176"/>
      <c r="V17" s="8" t="s">
        <v>15</v>
      </c>
      <c r="W17" s="10"/>
      <c r="X17" s="13"/>
      <c r="Y17" s="12"/>
      <c r="Z17" s="10"/>
      <c r="AA17" s="57">
        <f>F21</f>
        <v>219.46177031249997</v>
      </c>
      <c r="AB17" s="17"/>
      <c r="AC17" s="17"/>
      <c r="AD17" s="7"/>
      <c r="AE17" s="7"/>
      <c r="AF17" s="176"/>
      <c r="AG17" s="176"/>
      <c r="AH17" s="176"/>
      <c r="AI17" s="176"/>
      <c r="AJ17" s="176"/>
      <c r="AK17" s="176"/>
      <c r="AL17" s="176"/>
      <c r="AM17" s="176"/>
      <c r="AN17" s="176"/>
    </row>
    <row r="18" spans="1:40">
      <c r="A18" s="29"/>
      <c r="B18" s="17" t="s">
        <v>435</v>
      </c>
      <c r="C18" s="17">
        <f>VLOOKUP(Lugar!E84,Lugar!A64:F84,6)</f>
        <v>692</v>
      </c>
      <c r="D18" s="17" t="s">
        <v>434</v>
      </c>
      <c r="E18" s="17"/>
      <c r="F18" s="17"/>
      <c r="G18" s="17" t="s">
        <v>2</v>
      </c>
      <c r="H18" s="55"/>
      <c r="I18" s="50"/>
      <c r="J18" s="50"/>
      <c r="K18" s="50"/>
      <c r="L18" s="69" t="s">
        <v>125</v>
      </c>
      <c r="M18" s="130">
        <v>0</v>
      </c>
      <c r="N18" s="84">
        <f>+mensual!V29</f>
        <v>0.41572395111394272</v>
      </c>
      <c r="O18" s="82">
        <f t="shared" si="2"/>
        <v>0</v>
      </c>
      <c r="P18" s="7"/>
      <c r="Q18" s="17"/>
      <c r="R18" s="17"/>
      <c r="S18" s="55"/>
      <c r="T18" s="176"/>
      <c r="U18" s="176"/>
      <c r="V18" s="11" t="s">
        <v>17</v>
      </c>
      <c r="W18" s="19"/>
      <c r="X18" s="58">
        <f>+superficies!G8</f>
        <v>18</v>
      </c>
      <c r="Y18" s="2">
        <v>4.3</v>
      </c>
      <c r="Z18" s="19"/>
      <c r="AA18" s="59">
        <f>X18*Y18</f>
        <v>77.399999999999991</v>
      </c>
      <c r="AB18" s="17"/>
      <c r="AC18" s="17"/>
      <c r="AD18" s="7"/>
      <c r="AE18" s="7"/>
      <c r="AF18" s="176"/>
      <c r="AG18" s="176"/>
      <c r="AH18" s="176"/>
      <c r="AI18" s="176"/>
      <c r="AJ18" s="176"/>
      <c r="AK18" s="176"/>
      <c r="AL18" s="176"/>
      <c r="AM18" s="176"/>
      <c r="AN18" s="176"/>
    </row>
    <row r="19" spans="1:40">
      <c r="A19" s="29"/>
      <c r="B19" s="17" t="s">
        <v>298</v>
      </c>
      <c r="C19" s="17">
        <f>-0.00008*C18+ 0.9927</f>
        <v>0.93734000000000006</v>
      </c>
      <c r="D19" s="17"/>
      <c r="E19" s="17"/>
      <c r="F19" s="17"/>
      <c r="G19" s="17"/>
      <c r="H19" s="55"/>
      <c r="I19" s="50"/>
      <c r="J19" s="50"/>
      <c r="K19" s="50"/>
      <c r="L19" s="69" t="s">
        <v>113</v>
      </c>
      <c r="M19" s="130">
        <v>0</v>
      </c>
      <c r="N19" s="84">
        <f>+mensual!V30</f>
        <v>0.52308122019712011</v>
      </c>
      <c r="O19" s="82">
        <f t="shared" si="2"/>
        <v>0</v>
      </c>
      <c r="P19" s="7"/>
      <c r="Q19" s="17"/>
      <c r="R19" s="17"/>
      <c r="S19" s="55"/>
      <c r="T19" s="176"/>
      <c r="U19" s="176"/>
      <c r="V19" s="11" t="s">
        <v>18</v>
      </c>
      <c r="W19" s="19"/>
      <c r="X19" s="58">
        <f>+superficies!G10+superficies!G14</f>
        <v>2.88</v>
      </c>
      <c r="Y19" s="4">
        <v>4.3</v>
      </c>
      <c r="Z19" s="19"/>
      <c r="AA19" s="59">
        <f>X19*Y19</f>
        <v>12.383999999999999</v>
      </c>
      <c r="AB19" s="17"/>
      <c r="AC19" s="17"/>
      <c r="AD19" s="7"/>
      <c r="AE19" s="7"/>
      <c r="AF19" s="176"/>
      <c r="AG19" s="176"/>
      <c r="AH19" s="176"/>
      <c r="AI19" s="176"/>
      <c r="AJ19" s="176"/>
      <c r="AK19" s="176"/>
      <c r="AL19" s="176"/>
      <c r="AM19" s="176"/>
      <c r="AN19" s="176"/>
    </row>
    <row r="20" spans="1:40" ht="13.5" thickBot="1">
      <c r="A20" s="29"/>
      <c r="B20" s="17"/>
      <c r="C20" s="17" t="s">
        <v>210</v>
      </c>
      <c r="D20" s="276">
        <v>0.5</v>
      </c>
      <c r="E20" s="17"/>
      <c r="F20" s="17"/>
      <c r="G20" s="17"/>
      <c r="H20" s="55"/>
      <c r="I20" s="50"/>
      <c r="J20" s="50"/>
      <c r="K20" s="7"/>
      <c r="L20" s="69" t="s">
        <v>126</v>
      </c>
      <c r="M20" s="130">
        <v>0</v>
      </c>
      <c r="N20" s="84">
        <f>+mensual!V31</f>
        <v>0.37051766973571376</v>
      </c>
      <c r="O20" s="82">
        <f t="shared" si="2"/>
        <v>0</v>
      </c>
      <c r="P20" s="7"/>
      <c r="Q20" s="17"/>
      <c r="R20" s="17"/>
      <c r="S20" s="55"/>
      <c r="T20" s="176"/>
      <c r="U20" s="176"/>
      <c r="V20" s="23" t="s">
        <v>19</v>
      </c>
      <c r="W20" s="15"/>
      <c r="X20" s="60"/>
      <c r="Y20" s="14"/>
      <c r="Z20" s="15"/>
      <c r="AA20" s="59">
        <f>+AA19+AA18+AA17</f>
        <v>309.24577031249999</v>
      </c>
      <c r="AB20" s="17"/>
      <c r="AC20" s="17"/>
      <c r="AD20" s="7"/>
      <c r="AE20" s="7"/>
      <c r="AF20" s="176"/>
      <c r="AG20" s="176"/>
      <c r="AH20" s="176"/>
      <c r="AI20" s="176"/>
      <c r="AJ20" s="176"/>
      <c r="AK20" s="176"/>
      <c r="AL20" s="176"/>
      <c r="AM20" s="176"/>
      <c r="AN20" s="176"/>
    </row>
    <row r="21" spans="1:40" ht="15" thickBot="1">
      <c r="A21" s="39" t="s">
        <v>15</v>
      </c>
      <c r="B21" s="171"/>
      <c r="C21" s="171"/>
      <c r="D21" s="275" t="s">
        <v>2</v>
      </c>
      <c r="E21" s="172"/>
      <c r="F21" s="173">
        <f>SUM(F10:F19)</f>
        <v>219.46177031249997</v>
      </c>
      <c r="G21" s="70">
        <f>(+F21/$F$21)*100</f>
        <v>100</v>
      </c>
      <c r="H21" s="170" t="s">
        <v>11</v>
      </c>
      <c r="I21" s="7"/>
      <c r="J21" s="50"/>
      <c r="K21" s="50"/>
      <c r="L21" s="69" t="s">
        <v>114</v>
      </c>
      <c r="M21" s="130">
        <v>0</v>
      </c>
      <c r="N21" s="84">
        <f>+mensual!V32</f>
        <v>0.2583530392258111</v>
      </c>
      <c r="O21" s="82">
        <f t="shared" si="2"/>
        <v>0</v>
      </c>
      <c r="P21" s="7"/>
      <c r="Q21" s="17"/>
      <c r="R21" s="17"/>
      <c r="S21" s="55"/>
      <c r="T21" s="176"/>
      <c r="U21" s="176"/>
      <c r="V21" s="76" t="s">
        <v>430</v>
      </c>
      <c r="W21" s="17"/>
      <c r="X21" s="17"/>
      <c r="Y21" s="17"/>
      <c r="Z21" s="17"/>
      <c r="AA21" s="61">
        <f>(AA20)/C17</f>
        <v>1.1807780462485682</v>
      </c>
      <c r="AB21" s="76" t="s">
        <v>408</v>
      </c>
      <c r="AC21" s="17"/>
      <c r="AD21" s="7"/>
      <c r="AE21" s="7"/>
      <c r="AF21" s="176"/>
      <c r="AG21" s="176"/>
      <c r="AH21" s="176"/>
      <c r="AI21" s="176"/>
      <c r="AJ21" s="176"/>
      <c r="AK21" s="176"/>
      <c r="AL21" s="176"/>
      <c r="AM21" s="176"/>
      <c r="AN21" s="176"/>
    </row>
    <row r="22" spans="1:40">
      <c r="A22" s="44"/>
      <c r="B22" s="44"/>
      <c r="C22" s="44"/>
      <c r="D22" s="174"/>
      <c r="E22" s="174"/>
      <c r="F22" s="174"/>
      <c r="G22" s="34"/>
      <c r="H22" s="175"/>
      <c r="I22" s="17"/>
      <c r="J22" s="51"/>
      <c r="K22" s="7"/>
      <c r="L22" s="432" t="s">
        <v>620</v>
      </c>
      <c r="M22" s="130">
        <v>0</v>
      </c>
      <c r="N22" s="84">
        <f>+mensual!V33</f>
        <v>0.29967643703653846</v>
      </c>
      <c r="O22" s="82">
        <f t="shared" ref="O22:O24" si="3">+N22*M22/$M$36</f>
        <v>0</v>
      </c>
      <c r="P22" s="7"/>
      <c r="S22" s="55"/>
      <c r="T22" s="176"/>
      <c r="U22" s="176"/>
      <c r="V22" s="7"/>
      <c r="W22" s="7"/>
      <c r="X22" s="7"/>
      <c r="Y22" s="7"/>
      <c r="Z22" s="7"/>
      <c r="AA22" s="7"/>
      <c r="AB22" s="17"/>
      <c r="AC22" s="17"/>
      <c r="AD22" s="7"/>
      <c r="AE22" s="7"/>
      <c r="AF22" s="176"/>
      <c r="AG22" s="176"/>
      <c r="AH22" s="176"/>
      <c r="AI22" s="176"/>
      <c r="AJ22" s="176"/>
      <c r="AK22" s="176"/>
      <c r="AL22" s="176"/>
      <c r="AM22" s="176"/>
      <c r="AN22" s="176"/>
    </row>
    <row r="23" spans="1:40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7"/>
      <c r="L23" s="432" t="s">
        <v>621</v>
      </c>
      <c r="M23" s="130">
        <v>0</v>
      </c>
      <c r="N23" s="84">
        <f>+mensual!V34</f>
        <v>0.4373142936795697</v>
      </c>
      <c r="O23" s="82">
        <f t="shared" si="3"/>
        <v>0</v>
      </c>
      <c r="P23" s="7"/>
      <c r="S23" s="55"/>
      <c r="T23" s="176"/>
      <c r="U23" s="176"/>
      <c r="V23" s="311" t="s">
        <v>537</v>
      </c>
      <c r="W23" s="7"/>
      <c r="X23" s="339">
        <v>21</v>
      </c>
      <c r="Y23" s="7" t="s">
        <v>98</v>
      </c>
      <c r="Z23" s="7"/>
      <c r="AA23" s="7"/>
      <c r="AB23" s="17"/>
      <c r="AC23" s="17"/>
      <c r="AD23" s="7"/>
      <c r="AE23" s="7"/>
      <c r="AF23" s="176"/>
      <c r="AG23" s="176"/>
      <c r="AH23" s="176"/>
      <c r="AI23" s="176"/>
      <c r="AJ23" s="176"/>
      <c r="AK23" s="176"/>
      <c r="AL23" s="176"/>
      <c r="AM23" s="176"/>
      <c r="AN23" s="176"/>
    </row>
    <row r="24" spans="1:40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7"/>
      <c r="L24" s="69" t="s">
        <v>115</v>
      </c>
      <c r="M24" s="130">
        <v>0</v>
      </c>
      <c r="N24" s="84">
        <f>+mensual!V35</f>
        <v>0.35276205124668308</v>
      </c>
      <c r="O24" s="82">
        <f t="shared" si="3"/>
        <v>0</v>
      </c>
      <c r="P24" s="7"/>
      <c r="Q24" s="17"/>
      <c r="R24" s="17"/>
      <c r="S24" s="55"/>
      <c r="T24" s="176"/>
      <c r="U24" s="17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76"/>
      <c r="AG24" s="176"/>
      <c r="AH24" s="176"/>
      <c r="AI24" s="176"/>
      <c r="AJ24" s="176"/>
      <c r="AK24" s="176"/>
      <c r="AL24" s="176"/>
      <c r="AM24" s="176"/>
      <c r="AN24" s="176"/>
    </row>
    <row r="25" spans="1:40" ht="13.5" thickBo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7"/>
      <c r="L25" s="69" t="s">
        <v>116</v>
      </c>
      <c r="M25" s="130">
        <v>0</v>
      </c>
      <c r="N25" s="84">
        <f>+mensual!V36</f>
        <v>0.50843820172956966</v>
      </c>
      <c r="O25" s="82">
        <f>+N25*M25/$M$36</f>
        <v>0</v>
      </c>
      <c r="P25" s="7"/>
      <c r="Q25" s="17"/>
      <c r="R25" s="17"/>
      <c r="S25" s="55"/>
      <c r="T25" s="176"/>
      <c r="U25" s="176"/>
      <c r="V25" s="8" t="s">
        <v>107</v>
      </c>
      <c r="W25" s="9"/>
      <c r="X25" s="9"/>
      <c r="Y25" s="9"/>
      <c r="Z25" s="9"/>
      <c r="AA25" s="9"/>
      <c r="AB25" s="9"/>
      <c r="AC25" s="10"/>
      <c r="AD25" s="7"/>
      <c r="AE25" s="7"/>
      <c r="AF25" s="176"/>
      <c r="AG25" s="176"/>
      <c r="AH25" s="176"/>
      <c r="AI25" s="176"/>
      <c r="AJ25" s="176"/>
      <c r="AK25" s="176"/>
      <c r="AL25" s="176"/>
      <c r="AM25" s="176"/>
      <c r="AN25" s="176"/>
    </row>
    <row r="26" spans="1:40" ht="13.5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69" t="s">
        <v>117</v>
      </c>
      <c r="M26" s="130">
        <v>0</v>
      </c>
      <c r="N26" s="84">
        <f>+mensual!V37</f>
        <v>0.54438628947196066</v>
      </c>
      <c r="O26" s="82">
        <f>+N26*M26/$M$36</f>
        <v>0</v>
      </c>
      <c r="P26" s="7"/>
      <c r="Q26" s="17"/>
      <c r="R26" s="17"/>
      <c r="S26" s="55"/>
      <c r="T26" s="176"/>
      <c r="U26" s="176"/>
      <c r="V26" s="249" t="s">
        <v>409</v>
      </c>
      <c r="W26" s="25"/>
      <c r="X26" s="25"/>
      <c r="Y26" s="62">
        <f>+AA20*(X23-H4)*3600/4186/Z6</f>
        <v>7333.1552680142631</v>
      </c>
      <c r="Z26" s="63" t="s">
        <v>75</v>
      </c>
      <c r="AA26" s="25"/>
      <c r="AB26" s="25"/>
      <c r="AC26" s="15"/>
      <c r="AD26" s="7"/>
      <c r="AE26" s="7"/>
      <c r="AF26" s="176"/>
      <c r="AG26" s="176"/>
      <c r="AH26" s="176"/>
      <c r="AI26" s="176"/>
      <c r="AJ26" s="176"/>
      <c r="AK26" s="176"/>
      <c r="AL26" s="176"/>
      <c r="AM26" s="176"/>
      <c r="AN26" s="176"/>
    </row>
    <row r="27" spans="1:40">
      <c r="A27" s="176"/>
      <c r="B27" s="176"/>
      <c r="C27" s="176"/>
      <c r="D27" s="176"/>
      <c r="E27" s="176"/>
      <c r="F27" s="176"/>
      <c r="G27" s="176"/>
      <c r="H27" s="176"/>
      <c r="I27" s="169"/>
      <c r="J27" s="163"/>
      <c r="K27" s="7"/>
      <c r="L27" s="69" t="s">
        <v>118</v>
      </c>
      <c r="M27" s="130">
        <v>0</v>
      </c>
      <c r="N27" s="84">
        <f>+mensual!V38</f>
        <v>0.61264723837735191</v>
      </c>
      <c r="O27" s="82">
        <f>+N27*M27/$M$36</f>
        <v>0</v>
      </c>
      <c r="P27" s="7"/>
      <c r="Q27" s="17"/>
      <c r="R27" s="17"/>
      <c r="S27" s="55"/>
      <c r="T27" s="176"/>
      <c r="U27" s="176"/>
      <c r="V27" s="140" t="s">
        <v>437</v>
      </c>
      <c r="W27" s="7"/>
      <c r="X27" s="176"/>
      <c r="Y27" s="176"/>
      <c r="Z27" s="7"/>
      <c r="AA27" s="7"/>
      <c r="AB27" s="7"/>
      <c r="AC27" s="7"/>
      <c r="AD27" s="7"/>
      <c r="AE27" s="7"/>
      <c r="AF27" s="176"/>
      <c r="AG27" s="176"/>
      <c r="AH27" s="176"/>
      <c r="AI27" s="176"/>
      <c r="AJ27" s="176"/>
      <c r="AK27" s="176"/>
      <c r="AL27" s="176"/>
      <c r="AM27" s="176"/>
      <c r="AN27" s="176"/>
    </row>
    <row r="28" spans="1:40">
      <c r="A28" s="176"/>
      <c r="B28" s="176"/>
      <c r="C28" s="176"/>
      <c r="D28" s="176"/>
      <c r="E28" s="176"/>
      <c r="F28" s="176"/>
      <c r="G28" s="176"/>
      <c r="H28" s="176"/>
      <c r="I28" s="169"/>
      <c r="J28" s="163"/>
      <c r="K28" s="7"/>
      <c r="L28" s="29"/>
      <c r="M28" s="17"/>
      <c r="N28" s="82"/>
      <c r="O28" s="82"/>
      <c r="P28" s="7"/>
      <c r="Q28" s="17"/>
      <c r="R28" s="17"/>
      <c r="S28" s="55"/>
      <c r="T28" s="176"/>
      <c r="U28" s="176"/>
      <c r="V28" s="76" t="s">
        <v>436</v>
      </c>
      <c r="W28" s="7"/>
      <c r="X28" s="176"/>
      <c r="Y28" s="176"/>
      <c r="Z28" s="176"/>
      <c r="AA28" s="176"/>
      <c r="AB28" s="87">
        <f>+H4</f>
        <v>-2.4370400000000005</v>
      </c>
      <c r="AC28" s="87" t="str">
        <f>+I4</f>
        <v>°C</v>
      </c>
      <c r="AD28" s="7"/>
      <c r="AE28" s="7"/>
      <c r="AF28" s="176"/>
      <c r="AG28" s="176"/>
      <c r="AH28" s="176"/>
      <c r="AI28" s="176"/>
      <c r="AJ28" s="176"/>
      <c r="AK28" s="176"/>
      <c r="AL28" s="176"/>
      <c r="AM28" s="176"/>
      <c r="AN28" s="176"/>
    </row>
    <row r="29" spans="1:40">
      <c r="A29" s="176"/>
      <c r="B29" s="176"/>
      <c r="C29" s="176"/>
      <c r="D29" s="176"/>
      <c r="E29" s="176"/>
      <c r="F29" s="176"/>
      <c r="G29" s="176"/>
      <c r="H29" s="176"/>
      <c r="I29" s="163"/>
      <c r="J29" s="7"/>
      <c r="K29" s="7"/>
      <c r="L29" s="74" t="s">
        <v>142</v>
      </c>
      <c r="M29" s="71" t="s">
        <v>108</v>
      </c>
      <c r="N29" s="85" t="s">
        <v>76</v>
      </c>
      <c r="O29" s="83" t="s">
        <v>76</v>
      </c>
      <c r="P29" s="7"/>
      <c r="Q29" s="17"/>
      <c r="R29" s="17"/>
      <c r="S29" s="5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</row>
    <row r="30" spans="1:40">
      <c r="A30" s="176"/>
      <c r="B30" s="176"/>
      <c r="C30" s="176"/>
      <c r="D30" s="176"/>
      <c r="E30" s="176"/>
      <c r="F30" s="176"/>
      <c r="G30" s="176"/>
      <c r="H30" s="176"/>
      <c r="I30" s="163"/>
      <c r="J30" s="7"/>
      <c r="K30" s="7"/>
      <c r="L30" s="29"/>
      <c r="M30" s="17" t="s">
        <v>139</v>
      </c>
      <c r="N30" s="82" t="s">
        <v>135</v>
      </c>
      <c r="O30" s="82" t="s">
        <v>136</v>
      </c>
      <c r="P30" s="7"/>
      <c r="Q30" s="17"/>
      <c r="R30" s="17"/>
      <c r="S30" s="55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</row>
    <row r="31" spans="1:40">
      <c r="A31" s="176"/>
      <c r="B31" s="176"/>
      <c r="C31" s="176"/>
      <c r="D31" s="176"/>
      <c r="E31" s="176"/>
      <c r="F31" s="176"/>
      <c r="G31" s="176"/>
      <c r="H31" s="176"/>
      <c r="I31" s="163"/>
      <c r="J31" s="7"/>
      <c r="K31" s="7"/>
      <c r="L31" s="69" t="s">
        <v>119</v>
      </c>
      <c r="M31" s="130">
        <v>0</v>
      </c>
      <c r="N31" s="84">
        <f>+mensual!V39</f>
        <v>0.3419015195975153</v>
      </c>
      <c r="O31" s="82">
        <f>+N31*M31/$M$36</f>
        <v>0</v>
      </c>
      <c r="P31" s="7"/>
      <c r="Q31" s="17"/>
      <c r="R31" s="17"/>
      <c r="S31" s="55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</row>
    <row r="32" spans="1:40">
      <c r="A32" s="176"/>
      <c r="B32" s="176"/>
      <c r="C32" s="176"/>
      <c r="D32" s="176"/>
      <c r="E32" s="176"/>
      <c r="F32" s="176"/>
      <c r="G32" s="176"/>
      <c r="H32" s="176"/>
      <c r="I32" s="163"/>
      <c r="J32" s="7"/>
      <c r="K32" s="7"/>
      <c r="L32" s="69" t="s">
        <v>120</v>
      </c>
      <c r="M32" s="130">
        <v>0</v>
      </c>
      <c r="N32" s="84">
        <f>+mensual!V40</f>
        <v>0.28840981982139063</v>
      </c>
      <c r="O32" s="82">
        <f>+N32*M32/$M$36</f>
        <v>0</v>
      </c>
      <c r="P32" s="7"/>
      <c r="Q32" s="17"/>
      <c r="R32" s="17"/>
      <c r="S32" s="55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</row>
    <row r="33" spans="1:40">
      <c r="A33" s="176"/>
      <c r="B33" s="176"/>
      <c r="C33" s="176"/>
      <c r="D33" s="176"/>
      <c r="E33" s="176"/>
      <c r="F33" s="176"/>
      <c r="G33" s="176"/>
      <c r="H33" s="176"/>
      <c r="I33" s="163"/>
      <c r="J33" s="7"/>
      <c r="K33" s="7"/>
      <c r="L33" s="69" t="s">
        <v>127</v>
      </c>
      <c r="M33" s="130">
        <v>0</v>
      </c>
      <c r="N33" s="84">
        <f>+mensual!V41</f>
        <v>0.53255766681615746</v>
      </c>
      <c r="O33" s="82">
        <f>+N33*M33/$M$36</f>
        <v>0</v>
      </c>
      <c r="P33" s="7"/>
      <c r="Q33" s="17"/>
      <c r="R33" s="17"/>
      <c r="S33" s="55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</row>
    <row r="34" spans="1:40">
      <c r="A34" s="176"/>
      <c r="B34" s="176"/>
      <c r="C34" s="176"/>
      <c r="D34" s="176"/>
      <c r="E34" s="176"/>
      <c r="F34" s="176"/>
      <c r="G34" s="176"/>
      <c r="H34" s="176"/>
      <c r="I34" s="163"/>
      <c r="J34" s="7"/>
      <c r="K34" s="7"/>
      <c r="L34" s="69" t="s">
        <v>128</v>
      </c>
      <c r="M34" s="130">
        <v>0</v>
      </c>
      <c r="N34" s="84">
        <f>+mensual!V42</f>
        <v>0.51944380243945953</v>
      </c>
      <c r="O34" s="82">
        <f>+N34*M34/$M$36</f>
        <v>0</v>
      </c>
      <c r="P34" s="7"/>
      <c r="Q34" s="17"/>
      <c r="R34" s="17"/>
      <c r="S34" s="55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</row>
    <row r="35" spans="1:40">
      <c r="A35" s="176"/>
      <c r="B35" s="176"/>
      <c r="C35" s="176"/>
      <c r="D35" s="176"/>
      <c r="E35" s="176"/>
      <c r="F35" s="176"/>
      <c r="G35" s="176"/>
      <c r="H35" s="176"/>
      <c r="I35" s="163"/>
      <c r="J35" s="7"/>
      <c r="K35" s="7"/>
      <c r="L35" s="29"/>
      <c r="M35" s="17"/>
      <c r="N35" s="17"/>
      <c r="O35" s="7"/>
      <c r="P35" s="17"/>
      <c r="Q35" s="17"/>
      <c r="R35" s="17"/>
      <c r="S35" s="55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</row>
    <row r="36" spans="1:40" ht="13.5" thickBot="1">
      <c r="A36" s="176"/>
      <c r="B36" s="176"/>
      <c r="C36" s="176"/>
      <c r="D36" s="176"/>
      <c r="E36" s="176"/>
      <c r="F36" s="176"/>
      <c r="G36" s="176"/>
      <c r="H36" s="176"/>
      <c r="I36" s="163"/>
      <c r="J36" s="7"/>
      <c r="K36" s="7"/>
      <c r="L36" s="53" t="s">
        <v>0</v>
      </c>
      <c r="M36" s="70">
        <f>SUM(M9:M34)</f>
        <v>18</v>
      </c>
      <c r="N36" s="47" t="s">
        <v>27</v>
      </c>
      <c r="O36" s="47"/>
      <c r="P36" s="54"/>
      <c r="Q36" s="47"/>
      <c r="R36" s="70"/>
      <c r="S36" s="49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</row>
    <row r="37" spans="1:40">
      <c r="A37" s="176"/>
      <c r="B37" s="176"/>
      <c r="C37" s="176"/>
      <c r="D37" s="176"/>
      <c r="E37" s="176"/>
      <c r="F37" s="176"/>
      <c r="G37" s="176"/>
      <c r="H37" s="176"/>
      <c r="I37" s="163"/>
      <c r="J37" s="7"/>
      <c r="K37" s="7"/>
      <c r="L37" s="68" t="s">
        <v>145</v>
      </c>
      <c r="M37" s="27"/>
      <c r="N37" s="27"/>
      <c r="O37" s="27"/>
      <c r="P37" s="27"/>
      <c r="Q37" s="86">
        <f>SUM(O9:O34)</f>
        <v>0.56959306965948231</v>
      </c>
      <c r="R37" s="27"/>
      <c r="S37" s="28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</row>
    <row r="38" spans="1:40" ht="13.5" thickBot="1">
      <c r="A38" s="176"/>
      <c r="B38" s="176"/>
      <c r="C38" s="176"/>
      <c r="D38" s="176"/>
      <c r="E38" s="176"/>
      <c r="F38" s="176"/>
      <c r="G38" s="176"/>
      <c r="H38" s="176"/>
      <c r="I38" s="163"/>
      <c r="J38" s="7"/>
      <c r="K38" s="7"/>
      <c r="L38" s="31" t="s">
        <v>146</v>
      </c>
      <c r="M38" s="47"/>
      <c r="N38" s="47"/>
      <c r="O38" s="47"/>
      <c r="P38" s="47"/>
      <c r="Q38" s="47"/>
      <c r="R38" s="47"/>
      <c r="S38" s="49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</row>
    <row r="39" spans="1:40" ht="13.5" thickBot="1">
      <c r="A39" s="176"/>
      <c r="B39" s="176"/>
      <c r="C39" s="176"/>
      <c r="D39" s="176"/>
      <c r="E39" s="176"/>
      <c r="F39" s="176"/>
      <c r="G39" s="176"/>
      <c r="H39" s="176"/>
      <c r="I39" s="163"/>
      <c r="J39" s="7"/>
      <c r="K39" s="7"/>
      <c r="L39" s="7"/>
      <c r="M39" s="7"/>
      <c r="N39" s="7"/>
      <c r="O39" s="7"/>
      <c r="P39" s="7"/>
      <c r="Q39" s="7"/>
      <c r="R39" s="7"/>
      <c r="S39" s="7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</row>
    <row r="40" spans="1:40">
      <c r="A40" s="176"/>
      <c r="B40" s="176"/>
      <c r="C40" s="176"/>
      <c r="D40" s="176"/>
      <c r="E40" s="176"/>
      <c r="F40" s="176"/>
      <c r="G40" s="176"/>
      <c r="H40" s="176"/>
      <c r="I40" s="163"/>
      <c r="J40" s="7"/>
      <c r="K40" s="7"/>
      <c r="L40" s="26" t="s">
        <v>319</v>
      </c>
      <c r="M40" s="27"/>
      <c r="N40" s="27"/>
      <c r="O40" s="27"/>
      <c r="P40" s="27"/>
      <c r="Q40" s="27"/>
      <c r="R40" s="27"/>
      <c r="S40" s="28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</row>
    <row r="41" spans="1:40">
      <c r="A41" s="176"/>
      <c r="B41" s="176"/>
      <c r="C41" s="176"/>
      <c r="D41" s="176"/>
      <c r="E41" s="176"/>
      <c r="F41" s="176"/>
      <c r="G41" s="176"/>
      <c r="H41" s="176"/>
      <c r="I41" s="163"/>
      <c r="J41" s="7"/>
      <c r="K41" s="7"/>
      <c r="L41" s="29"/>
      <c r="M41" s="17"/>
      <c r="N41" s="17"/>
      <c r="O41" s="17"/>
      <c r="P41" s="17"/>
      <c r="Q41" s="17"/>
      <c r="R41" s="17"/>
      <c r="S41" s="55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</row>
    <row r="42" spans="1:40" ht="13.5" thickBot="1">
      <c r="A42" s="176"/>
      <c r="B42" s="176"/>
      <c r="C42" s="176"/>
      <c r="D42" s="176"/>
      <c r="E42" s="176"/>
      <c r="F42" s="176"/>
      <c r="G42" s="176"/>
      <c r="H42" s="176"/>
      <c r="I42" s="163"/>
      <c r="J42" s="7"/>
      <c r="K42" s="7"/>
      <c r="L42" s="53" t="s">
        <v>20</v>
      </c>
      <c r="M42" s="126">
        <f>F21/M36</f>
        <v>12.192320572916664</v>
      </c>
      <c r="N42" s="47" t="s">
        <v>317</v>
      </c>
      <c r="O42" s="47"/>
      <c r="P42" s="47"/>
      <c r="Q42" s="47"/>
      <c r="R42" s="47"/>
      <c r="S42" s="49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</row>
    <row r="43" spans="1:40">
      <c r="A43" s="176"/>
      <c r="B43" s="176"/>
      <c r="C43" s="176"/>
      <c r="D43" s="176"/>
      <c r="E43" s="176"/>
      <c r="F43" s="176"/>
      <c r="G43" s="176"/>
      <c r="H43" s="176"/>
      <c r="I43" s="163"/>
      <c r="J43" s="7"/>
      <c r="K43" s="7"/>
      <c r="L43" s="7"/>
      <c r="M43" s="7"/>
      <c r="N43" s="7"/>
      <c r="O43" s="7"/>
      <c r="P43" s="163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>
      <c r="A44" s="176"/>
      <c r="B44" s="176"/>
      <c r="C44" s="176"/>
      <c r="D44" s="176"/>
      <c r="E44" s="176"/>
      <c r="F44" s="176"/>
      <c r="G44" s="176"/>
      <c r="H44" s="176"/>
      <c r="I44" s="163"/>
      <c r="J44" s="7"/>
      <c r="K44" s="7"/>
      <c r="L44" s="140" t="s">
        <v>635</v>
      </c>
      <c r="M44" s="7"/>
      <c r="N44" s="7"/>
      <c r="O44" s="7"/>
      <c r="P44" s="163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>
      <c r="A45" s="176"/>
      <c r="B45" s="176"/>
      <c r="C45" s="176"/>
      <c r="D45" s="176"/>
      <c r="E45" s="176"/>
      <c r="F45" s="176"/>
      <c r="G45" s="176"/>
      <c r="H45" s="176"/>
      <c r="I45" s="163"/>
      <c r="J45" s="7"/>
      <c r="K45" s="7"/>
      <c r="L45" s="7" t="s">
        <v>636</v>
      </c>
      <c r="M45" s="7"/>
      <c r="N45" s="7"/>
      <c r="O45" s="7"/>
      <c r="P45" s="163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>
      <c r="A46" s="176"/>
      <c r="B46" s="176"/>
      <c r="C46" s="176"/>
      <c r="D46" s="176"/>
      <c r="E46" s="176"/>
      <c r="F46" s="176"/>
      <c r="G46" s="176"/>
      <c r="H46" s="176"/>
      <c r="I46" s="163"/>
      <c r="J46" s="7"/>
      <c r="K46" s="7"/>
      <c r="L46" s="7"/>
      <c r="M46" s="7"/>
      <c r="N46" s="7"/>
      <c r="O46" s="7"/>
      <c r="P46" s="163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>
      <c r="A47" s="176"/>
      <c r="B47" s="176"/>
      <c r="C47" s="176"/>
      <c r="D47" s="176"/>
      <c r="E47" s="176"/>
      <c r="F47" s="176"/>
      <c r="G47" s="176"/>
      <c r="H47" s="176"/>
      <c r="I47" s="163"/>
      <c r="J47" s="7"/>
      <c r="K47" s="7"/>
      <c r="L47" s="7"/>
      <c r="M47" s="7"/>
      <c r="N47" s="7"/>
      <c r="O47" s="7"/>
      <c r="P47" s="163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</row>
    <row r="48" spans="1:40">
      <c r="A48" s="176"/>
      <c r="B48" s="176"/>
      <c r="C48" s="176"/>
      <c r="D48" s="176"/>
      <c r="E48" s="176"/>
      <c r="F48" s="176"/>
      <c r="G48" s="176"/>
      <c r="H48" s="176"/>
      <c r="I48" s="163"/>
      <c r="J48" s="7"/>
      <c r="K48" s="7"/>
      <c r="L48" s="7"/>
      <c r="M48" s="7"/>
      <c r="N48" s="7"/>
      <c r="O48" s="7"/>
      <c r="P48" s="163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</row>
    <row r="49" spans="1:40">
      <c r="A49" s="176"/>
      <c r="B49" s="176"/>
      <c r="C49" s="176"/>
      <c r="D49" s="176"/>
      <c r="E49" s="176"/>
      <c r="F49" s="176"/>
      <c r="G49" s="176"/>
      <c r="H49" s="176"/>
      <c r="I49" s="163"/>
      <c r="J49" s="7"/>
      <c r="K49" s="7"/>
      <c r="L49" s="7"/>
      <c r="M49" s="7"/>
      <c r="N49" s="7"/>
      <c r="O49" s="7"/>
      <c r="P49" s="163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</row>
    <row r="50" spans="1:40">
      <c r="A50" s="176"/>
      <c r="B50" s="176"/>
      <c r="C50" s="176"/>
      <c r="D50" s="176"/>
      <c r="E50" s="176"/>
      <c r="F50" s="176"/>
      <c r="G50" s="176"/>
      <c r="H50" s="176"/>
      <c r="I50" s="163"/>
      <c r="J50" s="7"/>
      <c r="K50" s="7"/>
      <c r="L50" s="7"/>
      <c r="M50" s="7"/>
      <c r="N50" s="7"/>
      <c r="O50" s="7"/>
      <c r="P50" s="163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</row>
    <row r="51" spans="1:40">
      <c r="A51" s="176"/>
      <c r="B51" s="176"/>
      <c r="C51" s="176"/>
      <c r="D51" s="176"/>
      <c r="E51" s="176"/>
      <c r="F51" s="176"/>
      <c r="G51" s="176"/>
      <c r="H51" s="176"/>
      <c r="I51" s="163"/>
      <c r="J51" s="7"/>
      <c r="K51" s="7"/>
      <c r="L51" s="7"/>
      <c r="M51" s="7"/>
      <c r="N51" s="7"/>
      <c r="O51" s="7"/>
      <c r="P51" s="163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</row>
    <row r="52" spans="1:40">
      <c r="A52" s="176"/>
      <c r="B52" s="176"/>
      <c r="C52" s="176"/>
      <c r="D52" s="176"/>
      <c r="E52" s="176"/>
      <c r="F52" s="176"/>
      <c r="G52" s="176"/>
      <c r="H52" s="176"/>
      <c r="I52" s="163"/>
      <c r="J52" s="7"/>
      <c r="K52" s="7"/>
      <c r="L52" s="7"/>
      <c r="M52" s="7"/>
      <c r="N52" s="7"/>
      <c r="O52" s="7"/>
      <c r="P52" s="163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</row>
    <row r="53" spans="1:40">
      <c r="A53" s="176"/>
      <c r="B53" s="176"/>
      <c r="C53" s="176"/>
      <c r="D53" s="176"/>
      <c r="E53" s="176"/>
      <c r="F53" s="176"/>
      <c r="G53" s="176"/>
      <c r="H53" s="176"/>
      <c r="I53" s="163"/>
      <c r="J53" s="7"/>
      <c r="K53" s="7"/>
      <c r="L53" s="7"/>
      <c r="M53" s="7"/>
      <c r="N53" s="7"/>
      <c r="O53" s="7"/>
      <c r="P53" s="163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</row>
    <row r="54" spans="1:40">
      <c r="A54" s="176"/>
      <c r="B54" s="176"/>
      <c r="C54" s="176"/>
      <c r="D54" s="176"/>
      <c r="E54" s="176"/>
      <c r="F54" s="176"/>
      <c r="G54" s="176"/>
      <c r="H54" s="176"/>
      <c r="I54" s="163"/>
      <c r="J54" s="7"/>
      <c r="K54" s="7"/>
      <c r="L54" s="7"/>
      <c r="M54" s="7"/>
      <c r="N54" s="7"/>
      <c r="O54" s="7"/>
      <c r="P54" s="163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</row>
    <row r="55" spans="1:40">
      <c r="A55" s="176"/>
      <c r="B55" s="176"/>
      <c r="C55" s="176"/>
      <c r="D55" s="176"/>
      <c r="E55" s="176"/>
      <c r="F55" s="176"/>
      <c r="G55" s="176"/>
      <c r="H55" s="176"/>
      <c r="I55" s="163"/>
      <c r="J55" s="7"/>
      <c r="K55" s="7"/>
      <c r="L55" s="7"/>
      <c r="M55" s="7"/>
      <c r="N55" s="7"/>
      <c r="O55" s="7"/>
      <c r="P55" s="163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</row>
    <row r="56" spans="1:40">
      <c r="A56" s="176"/>
      <c r="B56" s="176"/>
      <c r="C56" s="176"/>
      <c r="D56" s="176"/>
      <c r="E56" s="176"/>
      <c r="F56" s="176"/>
      <c r="G56" s="176"/>
      <c r="H56" s="176"/>
      <c r="I56" s="163"/>
      <c r="J56" s="7"/>
      <c r="K56" s="7"/>
      <c r="L56" s="7"/>
      <c r="M56" s="7"/>
      <c r="N56" s="7"/>
      <c r="O56" s="7"/>
      <c r="P56" s="163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</row>
    <row r="57" spans="1:40">
      <c r="A57" s="176"/>
      <c r="B57" s="176"/>
      <c r="C57" s="176"/>
      <c r="D57" s="176"/>
      <c r="E57" s="176"/>
      <c r="F57" s="176"/>
      <c r="G57" s="176"/>
      <c r="H57" s="176"/>
      <c r="I57" s="163"/>
      <c r="J57" s="7"/>
      <c r="K57" s="7"/>
      <c r="L57" s="7"/>
      <c r="M57" s="7"/>
      <c r="N57" s="7"/>
      <c r="O57" s="7"/>
      <c r="P57" s="163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</row>
    <row r="58" spans="1:40">
      <c r="A58" s="176"/>
      <c r="B58" s="176"/>
      <c r="C58" s="176"/>
      <c r="D58" s="176"/>
      <c r="E58" s="176"/>
      <c r="F58" s="176"/>
      <c r="G58" s="176"/>
      <c r="H58" s="176"/>
      <c r="I58" s="163"/>
      <c r="J58" s="7"/>
      <c r="K58" s="7"/>
      <c r="L58" s="7"/>
      <c r="M58" s="7"/>
      <c r="N58" s="7"/>
      <c r="O58" s="7"/>
      <c r="P58" s="163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</row>
    <row r="59" spans="1:40">
      <c r="A59" s="176"/>
      <c r="B59" s="176"/>
      <c r="C59" s="176"/>
      <c r="D59" s="176"/>
      <c r="E59" s="176"/>
      <c r="F59" s="176"/>
      <c r="G59" s="176"/>
      <c r="H59" s="176"/>
      <c r="I59" s="169"/>
      <c r="J59" s="7"/>
      <c r="K59" s="7"/>
      <c r="L59" s="7"/>
      <c r="M59" s="7"/>
      <c r="N59" s="7"/>
      <c r="O59" s="7"/>
      <c r="P59" s="163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</row>
    <row r="60" spans="1:40">
      <c r="A60" s="176"/>
      <c r="B60" s="176"/>
      <c r="C60" s="176"/>
      <c r="D60" s="176"/>
      <c r="E60" s="176"/>
      <c r="F60" s="176"/>
      <c r="G60" s="176"/>
      <c r="H60" s="176"/>
      <c r="I60" s="163"/>
      <c r="J60" s="7"/>
      <c r="K60" s="7"/>
      <c r="L60" s="7"/>
      <c r="M60" s="7"/>
      <c r="N60" s="7"/>
      <c r="O60" s="7"/>
      <c r="P60" s="163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</row>
    <row r="61" spans="1:40">
      <c r="A61" s="176"/>
      <c r="B61" s="176"/>
      <c r="C61" s="176"/>
      <c r="D61" s="176"/>
      <c r="E61" s="176"/>
      <c r="F61" s="176"/>
      <c r="G61" s="176"/>
      <c r="H61" s="176"/>
      <c r="I61" s="163"/>
      <c r="J61" s="7"/>
      <c r="K61" s="7"/>
      <c r="L61" s="7"/>
      <c r="M61" s="7"/>
      <c r="N61" s="7"/>
      <c r="O61" s="7"/>
      <c r="P61" s="163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</row>
    <row r="62" spans="1:40">
      <c r="A62" s="176"/>
      <c r="B62" s="176"/>
      <c r="C62" s="176"/>
      <c r="D62" s="176"/>
      <c r="E62" s="176"/>
      <c r="F62" s="176"/>
      <c r="G62" s="176"/>
      <c r="H62" s="176"/>
      <c r="I62" s="163"/>
      <c r="J62" s="7"/>
      <c r="K62" s="7"/>
      <c r="L62" s="7"/>
      <c r="M62" s="7"/>
      <c r="N62" s="7"/>
      <c r="O62" s="7"/>
      <c r="P62" s="163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</row>
    <row r="63" spans="1:40">
      <c r="A63" s="176"/>
      <c r="B63" s="176"/>
      <c r="C63" s="176"/>
      <c r="D63" s="176"/>
      <c r="E63" s="176"/>
      <c r="F63" s="176"/>
      <c r="G63" s="176"/>
      <c r="H63" s="176"/>
      <c r="I63" s="163"/>
      <c r="J63" s="7"/>
      <c r="K63" s="7"/>
      <c r="L63" s="7"/>
      <c r="M63" s="7"/>
      <c r="N63" s="7"/>
      <c r="O63" s="7"/>
      <c r="P63" s="163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</row>
    <row r="64" spans="1:40">
      <c r="A64" s="176"/>
      <c r="B64" s="176"/>
      <c r="C64" s="176"/>
      <c r="D64" s="176"/>
      <c r="E64" s="176"/>
      <c r="F64" s="176"/>
      <c r="G64" s="176"/>
      <c r="H64" s="176"/>
      <c r="I64" s="163"/>
      <c r="J64" s="7"/>
      <c r="K64" s="7"/>
      <c r="L64" s="7"/>
      <c r="M64" s="7"/>
      <c r="N64" s="7"/>
      <c r="O64" s="7"/>
      <c r="P64" s="163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</row>
    <row r="65" spans="1:40">
      <c r="A65" s="163"/>
      <c r="B65" s="163"/>
      <c r="C65" s="163"/>
      <c r="D65" s="163"/>
      <c r="E65" s="163"/>
      <c r="F65" s="163"/>
      <c r="G65" s="163"/>
      <c r="H65" s="163"/>
      <c r="I65" s="163"/>
      <c r="J65" s="7"/>
      <c r="K65" s="7"/>
      <c r="L65" s="7"/>
      <c r="M65" s="7"/>
      <c r="N65" s="7"/>
      <c r="O65" s="7"/>
      <c r="P65" s="163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</row>
    <row r="66" spans="1:40">
      <c r="A66" s="176"/>
      <c r="B66" s="176"/>
      <c r="C66" s="176"/>
      <c r="D66" s="176"/>
      <c r="E66" s="176"/>
      <c r="F66" s="176"/>
      <c r="G66" s="176"/>
      <c r="H66" s="176"/>
      <c r="I66" s="176"/>
      <c r="K66" s="7"/>
      <c r="L66" s="7"/>
      <c r="M66" s="7"/>
      <c r="N66" s="7"/>
      <c r="O66" s="7"/>
      <c r="P66" s="163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</row>
    <row r="67" spans="1:40">
      <c r="A67" s="176"/>
      <c r="B67" s="176"/>
      <c r="C67" s="176"/>
      <c r="D67" s="176"/>
      <c r="E67" s="176"/>
      <c r="F67" s="176"/>
      <c r="G67" s="176"/>
      <c r="H67" s="176"/>
      <c r="I67" s="176"/>
      <c r="K67" s="7"/>
      <c r="L67" s="7"/>
      <c r="M67" s="7"/>
      <c r="N67" s="7"/>
      <c r="O67" s="7"/>
      <c r="P67" s="163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</row>
    <row r="68" spans="1:40" ht="18">
      <c r="A68" s="176"/>
      <c r="B68" s="176"/>
      <c r="C68" s="176"/>
      <c r="D68" s="176"/>
      <c r="E68" s="176"/>
      <c r="F68" s="176"/>
      <c r="G68" s="176"/>
      <c r="H68" s="176"/>
      <c r="I68" s="176"/>
      <c r="K68" s="131"/>
      <c r="L68" s="7"/>
      <c r="M68" s="7"/>
      <c r="N68" s="7"/>
      <c r="O68" s="7"/>
      <c r="P68" s="163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</row>
    <row r="69" spans="1:40">
      <c r="A69" s="176"/>
      <c r="B69" s="176"/>
      <c r="C69" s="176"/>
      <c r="D69" s="176"/>
      <c r="E69" s="176"/>
      <c r="F69" s="176"/>
      <c r="G69" s="176"/>
      <c r="H69" s="176"/>
      <c r="I69" s="176"/>
      <c r="K69" s="7"/>
      <c r="L69" s="7"/>
      <c r="M69" s="7"/>
      <c r="N69" s="7"/>
      <c r="O69" s="7"/>
      <c r="P69" s="163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</row>
    <row r="70" spans="1:40">
      <c r="A70" s="176"/>
      <c r="B70" s="176"/>
      <c r="C70" s="176"/>
      <c r="D70" s="176"/>
      <c r="E70" s="176"/>
      <c r="F70" s="176"/>
      <c r="G70" s="176"/>
      <c r="H70" s="176"/>
      <c r="I70" s="176"/>
      <c r="K70" s="7"/>
      <c r="L70" s="7"/>
      <c r="M70" s="7"/>
      <c r="N70" s="7"/>
      <c r="O70" s="7"/>
      <c r="P70" s="163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</row>
    <row r="71" spans="1:40">
      <c r="A71" s="176"/>
      <c r="B71" s="176"/>
      <c r="C71" s="176"/>
      <c r="D71" s="176"/>
      <c r="E71" s="176"/>
      <c r="F71" s="176"/>
      <c r="G71" s="176"/>
      <c r="H71" s="176"/>
      <c r="I71" s="176"/>
      <c r="K71" s="7"/>
      <c r="L71" s="7"/>
      <c r="M71" s="7"/>
      <c r="N71" s="7"/>
      <c r="O71" s="7"/>
      <c r="P71" s="163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</row>
    <row r="72" spans="1:40">
      <c r="A72" s="176"/>
      <c r="B72" s="176"/>
      <c r="C72" s="176"/>
      <c r="D72" s="176"/>
      <c r="E72" s="176"/>
      <c r="F72" s="176"/>
      <c r="G72" s="176"/>
      <c r="H72" s="176"/>
      <c r="I72" s="176"/>
      <c r="K72" s="7"/>
      <c r="L72" s="7"/>
      <c r="M72" s="7"/>
      <c r="N72" s="7"/>
      <c r="O72" s="7"/>
      <c r="P72" s="163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</row>
    <row r="73" spans="1:40">
      <c r="A73" s="176"/>
      <c r="B73" s="176"/>
      <c r="C73" s="176"/>
      <c r="D73" s="176"/>
      <c r="E73" s="176"/>
      <c r="F73" s="176"/>
      <c r="G73" s="176"/>
      <c r="H73" s="176"/>
      <c r="I73" s="176"/>
      <c r="K73" s="7"/>
      <c r="L73" s="7"/>
      <c r="M73" s="7"/>
      <c r="N73" s="7"/>
      <c r="O73" s="7"/>
      <c r="P73" s="163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</row>
    <row r="74" spans="1:40">
      <c r="A74" s="176"/>
      <c r="B74" s="176"/>
      <c r="C74" s="176"/>
      <c r="D74" s="176"/>
      <c r="E74" s="176"/>
      <c r="F74" s="176"/>
      <c r="G74" s="176"/>
      <c r="H74" s="176"/>
      <c r="I74" s="176"/>
      <c r="K74" s="7"/>
      <c r="L74" s="7"/>
      <c r="M74" s="7"/>
      <c r="N74" s="7"/>
      <c r="O74" s="7"/>
      <c r="P74" s="163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</row>
    <row r="75" spans="1:40">
      <c r="A75" s="176"/>
      <c r="B75" s="176"/>
      <c r="C75" s="176"/>
      <c r="D75" s="176"/>
      <c r="E75" s="176"/>
      <c r="F75" s="176"/>
      <c r="G75" s="176"/>
      <c r="H75" s="176"/>
      <c r="I75" s="176"/>
      <c r="K75" s="7"/>
      <c r="L75" s="7"/>
      <c r="M75" s="7"/>
      <c r="N75" s="7"/>
      <c r="O75" s="7"/>
      <c r="P75" s="163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</row>
    <row r="76" spans="1:40">
      <c r="A76" s="176"/>
      <c r="B76" s="176"/>
      <c r="C76" s="176"/>
      <c r="D76" s="176"/>
      <c r="E76" s="176"/>
      <c r="F76" s="176"/>
      <c r="G76" s="176"/>
      <c r="H76" s="176"/>
      <c r="I76" s="176"/>
      <c r="K76" s="7"/>
      <c r="L76" s="7"/>
      <c r="M76" s="7"/>
      <c r="N76" s="7"/>
      <c r="O76" s="7"/>
      <c r="P76" s="163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</row>
    <row r="77" spans="1:40">
      <c r="A77" s="176"/>
      <c r="B77" s="176"/>
      <c r="C77" s="176"/>
      <c r="D77" s="176"/>
      <c r="E77" s="176"/>
      <c r="F77" s="176"/>
      <c r="G77" s="176"/>
      <c r="H77" s="176"/>
      <c r="I77" s="176"/>
      <c r="K77" s="7"/>
      <c r="L77" s="7"/>
      <c r="M77" s="7"/>
      <c r="N77" s="7"/>
      <c r="O77" s="7"/>
      <c r="P77" s="163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</row>
    <row r="78" spans="1:40">
      <c r="A78" s="176"/>
      <c r="B78" s="176"/>
      <c r="C78" s="176"/>
      <c r="D78" s="176"/>
      <c r="E78" s="176"/>
      <c r="F78" s="176"/>
      <c r="G78" s="176"/>
      <c r="H78" s="176"/>
      <c r="I78" s="176"/>
      <c r="K78" s="7"/>
      <c r="L78" s="7"/>
      <c r="M78" s="7"/>
      <c r="N78" s="7"/>
      <c r="O78" s="7"/>
      <c r="P78" s="163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</row>
    <row r="79" spans="1:40">
      <c r="A79" s="176"/>
      <c r="B79" s="176"/>
      <c r="C79" s="176"/>
      <c r="D79" s="176"/>
      <c r="E79" s="176"/>
      <c r="F79" s="176"/>
      <c r="G79" s="176"/>
      <c r="H79" s="176"/>
      <c r="I79" s="176"/>
      <c r="K79" s="7"/>
      <c r="L79" s="7"/>
      <c r="M79" s="7"/>
      <c r="N79" s="7"/>
      <c r="O79" s="7"/>
      <c r="P79" s="163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</row>
    <row r="80" spans="1:40">
      <c r="A80" s="176"/>
      <c r="B80" s="176"/>
      <c r="C80" s="176"/>
      <c r="D80" s="176"/>
      <c r="E80" s="176"/>
      <c r="F80" s="176"/>
      <c r="G80" s="176"/>
      <c r="H80" s="176"/>
      <c r="I80" s="176"/>
      <c r="K80" s="7"/>
      <c r="L80" s="7"/>
      <c r="M80" s="7"/>
      <c r="N80" s="7"/>
      <c r="O80" s="7"/>
      <c r="P80" s="163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</row>
    <row r="81" spans="1:40">
      <c r="A81" s="176"/>
      <c r="B81" s="176"/>
      <c r="C81" s="176"/>
      <c r="D81" s="176"/>
      <c r="E81" s="176"/>
      <c r="F81" s="176"/>
      <c r="G81" s="176"/>
      <c r="H81" s="176"/>
      <c r="I81" s="176"/>
      <c r="K81" s="7"/>
      <c r="L81" s="7"/>
      <c r="M81" s="7"/>
      <c r="N81" s="7"/>
      <c r="O81" s="7"/>
      <c r="P81" s="163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</row>
    <row r="82" spans="1:40">
      <c r="A82" s="176"/>
      <c r="B82" s="176"/>
      <c r="C82" s="176"/>
      <c r="D82" s="176"/>
      <c r="E82" s="176"/>
      <c r="F82" s="176"/>
      <c r="G82" s="176"/>
      <c r="H82" s="176"/>
      <c r="I82" s="176"/>
      <c r="K82" s="7"/>
      <c r="L82" s="7"/>
      <c r="M82" s="7"/>
      <c r="N82" s="7"/>
      <c r="O82" s="7"/>
      <c r="P82" s="163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</row>
    <row r="83" spans="1:40">
      <c r="A83" s="176"/>
      <c r="B83" s="176"/>
      <c r="C83" s="176"/>
      <c r="D83" s="176"/>
      <c r="E83" s="176"/>
      <c r="F83" s="176"/>
      <c r="G83" s="176"/>
      <c r="H83" s="176"/>
      <c r="I83" s="176"/>
      <c r="K83" s="7"/>
      <c r="L83" s="7"/>
      <c r="M83" s="7"/>
      <c r="N83" s="7"/>
      <c r="O83" s="7"/>
      <c r="P83" s="163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</row>
    <row r="84" spans="1:40">
      <c r="A84" s="176"/>
      <c r="B84" s="176"/>
      <c r="C84" s="176"/>
      <c r="D84" s="176"/>
      <c r="E84" s="176"/>
      <c r="F84" s="176"/>
      <c r="G84" s="176"/>
      <c r="H84" s="176"/>
      <c r="I84" s="176"/>
      <c r="K84" s="7"/>
      <c r="L84" s="7"/>
      <c r="M84" s="7"/>
      <c r="N84" s="7"/>
      <c r="O84" s="7"/>
      <c r="P84" s="163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</row>
    <row r="85" spans="1:40">
      <c r="A85" s="176"/>
      <c r="B85" s="176"/>
      <c r="C85" s="176"/>
      <c r="D85" s="176"/>
      <c r="E85" s="176"/>
      <c r="F85" s="176"/>
      <c r="G85" s="176"/>
      <c r="H85" s="176"/>
      <c r="I85" s="176"/>
      <c r="K85" s="7"/>
      <c r="L85" s="7"/>
      <c r="M85" s="7"/>
      <c r="N85" s="7"/>
      <c r="O85" s="7"/>
      <c r="P85" s="163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</row>
    <row r="86" spans="1:40">
      <c r="A86" s="176"/>
      <c r="B86" s="176"/>
      <c r="C86" s="176"/>
      <c r="D86" s="176"/>
      <c r="E86" s="176"/>
      <c r="F86" s="176"/>
      <c r="G86" s="176"/>
      <c r="H86" s="176"/>
      <c r="I86" s="176"/>
      <c r="K86" s="7"/>
      <c r="L86" s="7"/>
      <c r="M86" s="7"/>
      <c r="N86" s="7"/>
      <c r="O86" s="7"/>
      <c r="P86" s="163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</row>
    <row r="87" spans="1:40">
      <c r="A87" s="176"/>
      <c r="B87" s="176"/>
      <c r="C87" s="176"/>
      <c r="D87" s="176"/>
      <c r="E87" s="176"/>
      <c r="F87" s="176"/>
      <c r="G87" s="176"/>
      <c r="H87" s="176"/>
      <c r="I87" s="176"/>
      <c r="K87" s="7"/>
      <c r="L87" s="7"/>
      <c r="M87" s="7"/>
      <c r="N87" s="7"/>
      <c r="O87" s="7"/>
      <c r="P87" s="163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</row>
    <row r="88" spans="1:40">
      <c r="A88" s="176"/>
      <c r="B88" s="176"/>
      <c r="C88" s="176"/>
      <c r="D88" s="176"/>
      <c r="E88" s="176"/>
      <c r="F88" s="176"/>
      <c r="G88" s="176"/>
      <c r="H88" s="176"/>
      <c r="I88" s="176"/>
      <c r="K88" s="7"/>
      <c r="L88" s="7"/>
      <c r="M88" s="7"/>
      <c r="N88" s="7"/>
      <c r="O88" s="7"/>
      <c r="P88" s="163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</row>
    <row r="89" spans="1:40">
      <c r="A89" s="176"/>
      <c r="B89" s="176"/>
      <c r="C89" s="176"/>
      <c r="D89" s="176"/>
      <c r="E89" s="176"/>
      <c r="F89" s="176"/>
      <c r="G89" s="176"/>
      <c r="H89" s="176"/>
      <c r="I89" s="176"/>
      <c r="K89" s="7"/>
      <c r="L89" s="7"/>
      <c r="M89" s="7"/>
      <c r="N89" s="7"/>
      <c r="O89" s="7"/>
      <c r="P89" s="163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</row>
    <row r="90" spans="1:40">
      <c r="A90" s="176"/>
      <c r="B90" s="176"/>
      <c r="C90" s="176"/>
      <c r="D90" s="176"/>
      <c r="E90" s="176"/>
      <c r="F90" s="176"/>
      <c r="G90" s="176"/>
      <c r="H90" s="176"/>
      <c r="I90" s="176"/>
      <c r="K90" s="7"/>
      <c r="L90" s="7"/>
      <c r="M90" s="7"/>
      <c r="N90" s="7"/>
      <c r="O90" s="7"/>
      <c r="P90" s="163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</row>
    <row r="91" spans="1:40">
      <c r="A91" s="163"/>
      <c r="B91" s="163"/>
      <c r="C91" s="163"/>
      <c r="D91" s="163"/>
      <c r="E91" s="163"/>
      <c r="F91" s="163"/>
      <c r="G91" s="163"/>
      <c r="H91" s="163"/>
      <c r="I91" s="163"/>
      <c r="J91" s="7"/>
      <c r="K91" s="7"/>
      <c r="L91" s="7"/>
      <c r="M91" s="7"/>
      <c r="N91" s="7"/>
      <c r="O91" s="7"/>
      <c r="P91" s="163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</row>
    <row r="92" spans="1:40">
      <c r="A92" s="163"/>
      <c r="B92" s="163"/>
      <c r="C92" s="163"/>
      <c r="D92" s="163"/>
      <c r="E92" s="163"/>
      <c r="F92" s="163"/>
      <c r="G92" s="163"/>
      <c r="H92" s="163"/>
      <c r="I92" s="163"/>
      <c r="J92" s="7"/>
      <c r="K92" s="7"/>
      <c r="L92" s="7"/>
      <c r="M92" s="7"/>
      <c r="N92" s="7"/>
      <c r="O92" s="7"/>
      <c r="P92" s="163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</row>
    <row r="93" spans="1:40">
      <c r="A93" s="163"/>
      <c r="B93" s="163"/>
      <c r="C93" s="163"/>
      <c r="D93" s="163"/>
      <c r="E93" s="163"/>
      <c r="F93" s="163"/>
      <c r="G93" s="163"/>
      <c r="H93" s="163"/>
      <c r="I93" s="163"/>
      <c r="J93" s="7"/>
      <c r="K93" s="7"/>
      <c r="L93" s="7"/>
      <c r="M93" s="7"/>
      <c r="N93" s="7"/>
      <c r="O93" s="7"/>
      <c r="P93" s="163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</row>
    <row r="94" spans="1:40">
      <c r="A94" s="163"/>
      <c r="B94" s="163"/>
      <c r="C94" s="163"/>
      <c r="D94" s="163"/>
      <c r="E94" s="163"/>
      <c r="F94" s="163"/>
      <c r="G94" s="163"/>
      <c r="H94" s="163"/>
      <c r="I94" s="163"/>
      <c r="J94" s="7"/>
      <c r="K94" s="7"/>
      <c r="L94" s="7"/>
      <c r="M94" s="7"/>
      <c r="N94" s="7"/>
      <c r="O94" s="7"/>
      <c r="P94" s="163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</row>
    <row r="95" spans="1:40">
      <c r="A95" s="163"/>
      <c r="B95" s="163"/>
      <c r="C95" s="163"/>
      <c r="D95" s="163"/>
      <c r="E95" s="163"/>
      <c r="F95" s="163"/>
      <c r="G95" s="163"/>
      <c r="H95" s="163"/>
      <c r="I95" s="163"/>
      <c r="J95" s="7"/>
      <c r="K95" s="7"/>
      <c r="L95" s="7"/>
      <c r="M95" s="7"/>
      <c r="N95" s="7"/>
      <c r="O95" s="7"/>
      <c r="P95" s="163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</row>
    <row r="96" spans="1:40">
      <c r="A96" s="163"/>
      <c r="B96" s="163"/>
      <c r="C96" s="163"/>
      <c r="D96" s="163"/>
      <c r="E96" s="163"/>
      <c r="F96" s="163"/>
      <c r="G96" s="163"/>
      <c r="H96" s="163"/>
      <c r="I96" s="163"/>
      <c r="J96" s="7"/>
      <c r="K96" s="7"/>
      <c r="L96" s="7"/>
      <c r="M96" s="7"/>
      <c r="N96" s="7"/>
      <c r="O96" s="7"/>
      <c r="P96" s="163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</row>
    <row r="97" spans="1:40">
      <c r="A97" s="163"/>
      <c r="B97" s="163"/>
      <c r="C97" s="163"/>
      <c r="D97" s="163"/>
      <c r="E97" s="163"/>
      <c r="F97" s="163"/>
      <c r="G97" s="163"/>
      <c r="H97" s="163"/>
      <c r="I97" s="163"/>
      <c r="J97" s="7"/>
      <c r="K97" s="7"/>
      <c r="L97" s="7"/>
      <c r="M97" s="7"/>
      <c r="N97" s="7"/>
      <c r="O97" s="7"/>
      <c r="P97" s="163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</row>
    <row r="98" spans="1:40">
      <c r="A98" s="163"/>
      <c r="B98" s="163"/>
      <c r="C98" s="163"/>
      <c r="D98" s="163"/>
      <c r="E98" s="163"/>
      <c r="F98" s="163"/>
      <c r="G98" s="163"/>
      <c r="H98" s="163"/>
      <c r="I98" s="163"/>
      <c r="J98" s="7"/>
      <c r="K98" s="7"/>
      <c r="L98" s="7"/>
      <c r="M98" s="7"/>
      <c r="N98" s="7"/>
      <c r="O98" s="7"/>
      <c r="P98" s="163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</row>
    <row r="99" spans="1:40">
      <c r="A99" s="163"/>
      <c r="B99" s="163"/>
      <c r="C99" s="163"/>
      <c r="D99" s="163"/>
      <c r="E99" s="163"/>
      <c r="F99" s="163"/>
      <c r="G99" s="163"/>
      <c r="H99" s="163"/>
      <c r="I99" s="163"/>
      <c r="J99" s="7"/>
      <c r="K99" s="7"/>
      <c r="L99" s="7"/>
      <c r="M99" s="7"/>
      <c r="N99" s="7"/>
      <c r="O99" s="7"/>
      <c r="P99" s="163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</row>
    <row r="100" spans="1:40">
      <c r="A100" s="163"/>
      <c r="B100" s="163"/>
      <c r="C100" s="163"/>
      <c r="D100" s="163"/>
      <c r="E100" s="163"/>
      <c r="F100" s="163"/>
      <c r="G100" s="163"/>
      <c r="H100" s="163"/>
      <c r="I100" s="163"/>
      <c r="J100" s="7"/>
      <c r="K100" s="7"/>
      <c r="L100" s="7"/>
      <c r="M100" s="7"/>
      <c r="N100" s="7"/>
      <c r="O100" s="7"/>
      <c r="P100" s="163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</row>
    <row r="101" spans="1:40">
      <c r="A101" s="163"/>
      <c r="B101" s="163"/>
      <c r="C101" s="163"/>
      <c r="D101" s="163"/>
      <c r="E101" s="163"/>
      <c r="F101" s="163"/>
      <c r="G101" s="163"/>
      <c r="H101" s="163"/>
      <c r="I101" s="163"/>
      <c r="J101" s="7"/>
      <c r="K101" s="7"/>
      <c r="L101" s="7"/>
      <c r="M101" s="7"/>
      <c r="N101" s="7"/>
      <c r="O101" s="7"/>
      <c r="P101" s="163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</row>
    <row r="102" spans="1:4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63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</row>
    <row r="103" spans="1:40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63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</row>
    <row r="104" spans="1:4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63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</row>
    <row r="105" spans="1:4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63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</row>
    <row r="106" spans="1:4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63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</row>
    <row r="107" spans="1:4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63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</row>
    <row r="108" spans="1:4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63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</row>
    <row r="109" spans="1:4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63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</row>
    <row r="110" spans="1:4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63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</row>
    <row r="111" spans="1:4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63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</row>
    <row r="112" spans="1:4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63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</row>
    <row r="113" spans="1:4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63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</row>
    <row r="114" spans="1:4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63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</row>
    <row r="115" spans="1:4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63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</row>
    <row r="116" spans="1:4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63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</row>
    <row r="117" spans="1:4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63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</row>
    <row r="118" spans="1:4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63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</row>
    <row r="119" spans="1:4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63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</row>
    <row r="120" spans="1:4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63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</row>
    <row r="121" spans="1:4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63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</row>
    <row r="122" spans="1:4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63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</row>
    <row r="123" spans="1:4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63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</row>
    <row r="124" spans="1:4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63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</row>
    <row r="125" spans="1:4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63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</row>
    <row r="126" spans="1:4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63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</row>
    <row r="127" spans="1:4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63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</row>
    <row r="128" spans="1:4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63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</row>
    <row r="129" spans="1:4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63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</row>
    <row r="130" spans="1:4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63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</row>
    <row r="131" spans="1:4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63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</row>
    <row r="132" spans="1:4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63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</row>
    <row r="133" spans="1:4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63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</row>
    <row r="134" spans="1:4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63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</row>
    <row r="135" spans="1:4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63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</row>
    <row r="136" spans="1:4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63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</row>
    <row r="137" spans="1:4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63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</row>
    <row r="138" spans="1:4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63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</row>
    <row r="139" spans="1:4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63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</row>
    <row r="140" spans="1: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63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</row>
    <row r="141" spans="1:4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63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</row>
    <row r="142" spans="1:4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63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</row>
    <row r="143" spans="1:4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63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</row>
    <row r="144" spans="1:4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63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</row>
    <row r="145" spans="1:4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63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</row>
    <row r="146" spans="1:4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63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</row>
    <row r="147" spans="1:4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63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</row>
    <row r="148" spans="1:4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63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</row>
    <row r="149" spans="1:4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63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</row>
    <row r="150" spans="1:4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63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</row>
    <row r="151" spans="1:4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63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</row>
    <row r="152" spans="1:4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63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</row>
    <row r="153" spans="1:4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63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</row>
    <row r="154" spans="1:4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63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</row>
    <row r="155" spans="1:4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4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4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4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4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4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zoomScaleNormal="100" workbookViewId="0">
      <pane ySplit="6" topLeftCell="A7" activePane="bottomLeft" state="frozen"/>
      <selection pane="bottomLeft" activeCell="B24" sqref="B24"/>
    </sheetView>
  </sheetViews>
  <sheetFormatPr baseColWidth="10" defaultColWidth="9.140625" defaultRowHeight="12.75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</cols>
  <sheetData>
    <row r="1" spans="1:59">
      <c r="A1" s="6" t="s">
        <v>393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6" t="s">
        <v>394</v>
      </c>
      <c r="B2" s="7"/>
      <c r="C2" s="7"/>
      <c r="D2" s="7"/>
      <c r="E2" s="7"/>
      <c r="F2" s="7"/>
      <c r="G2" s="181" t="s">
        <v>363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>
      <c r="A3" s="176"/>
      <c r="B3" s="176"/>
      <c r="C3" s="176"/>
      <c r="D3" s="176"/>
      <c r="E3" s="7"/>
      <c r="F3" s="7"/>
      <c r="G3" s="140" t="s">
        <v>353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>
      <c r="A4" s="13"/>
      <c r="B4" s="13"/>
      <c r="C4" s="134" t="s">
        <v>82</v>
      </c>
      <c r="D4" s="13" t="s">
        <v>2</v>
      </c>
      <c r="E4" s="7" t="s">
        <v>2</v>
      </c>
      <c r="F4" s="7"/>
      <c r="G4" s="176"/>
      <c r="H4" s="163"/>
      <c r="I4" s="163"/>
      <c r="J4" s="16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>
      <c r="A5" s="137" t="s">
        <v>364</v>
      </c>
      <c r="B5" s="66" t="s">
        <v>2</v>
      </c>
      <c r="C5" s="135" t="s">
        <v>123</v>
      </c>
      <c r="D5" s="66" t="s">
        <v>2</v>
      </c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ht="14.25">
      <c r="A6" s="32"/>
      <c r="B6" s="32" t="s">
        <v>31</v>
      </c>
      <c r="C6" s="152" t="s">
        <v>365</v>
      </c>
      <c r="D6" s="32" t="s">
        <v>12</v>
      </c>
      <c r="E6" s="6"/>
      <c r="F6" s="6"/>
      <c r="G6" s="7"/>
      <c r="H6" s="7"/>
      <c r="I6" s="7"/>
      <c r="J6" s="7"/>
      <c r="K6" s="7"/>
      <c r="L6" s="16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>
      <c r="A7" s="6" t="s">
        <v>6</v>
      </c>
      <c r="B7" s="7" t="s">
        <v>2</v>
      </c>
      <c r="C7" s="65"/>
      <c r="D7" s="7"/>
      <c r="E7" s="7"/>
      <c r="F7" s="7"/>
      <c r="G7" s="7"/>
      <c r="H7" s="7"/>
      <c r="I7" s="7"/>
      <c r="J7" s="7"/>
      <c r="K7" s="7"/>
      <c r="L7" s="16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>
      <c r="A8" s="6" t="s">
        <v>30</v>
      </c>
      <c r="B8" s="6" t="s">
        <v>31</v>
      </c>
      <c r="C8" s="65"/>
      <c r="D8" s="6"/>
      <c r="E8" s="7"/>
      <c r="F8" s="7"/>
      <c r="G8" s="182" t="s">
        <v>366</v>
      </c>
      <c r="H8" s="183"/>
      <c r="I8" s="183"/>
      <c r="J8" s="183"/>
      <c r="K8" s="7"/>
      <c r="L8" s="16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>
      <c r="A9" s="6"/>
      <c r="B9" s="6"/>
      <c r="C9" s="65"/>
      <c r="D9" s="6"/>
      <c r="E9" s="7"/>
      <c r="F9" s="7"/>
      <c r="G9" s="7" t="str">
        <f>VLOOKUP(Lugar!E84,Lugar!A65:E78,2)</f>
        <v>Rama Caída</v>
      </c>
      <c r="H9" s="7">
        <f>VLOOKUP(Lugar!E84,Lugar!A65:E78,4)</f>
        <v>9</v>
      </c>
      <c r="I9" s="184" t="s">
        <v>367</v>
      </c>
      <c r="J9" s="163"/>
      <c r="K9" s="176"/>
      <c r="L9" s="163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>
      <c r="A10" s="208" t="s">
        <v>414</v>
      </c>
      <c r="B10" s="186">
        <f>0.111+0.063+0.05</f>
        <v>0.22399999999999998</v>
      </c>
      <c r="C10" s="187">
        <f>1/B10</f>
        <v>4.4642857142857144</v>
      </c>
      <c r="D10" s="139" t="s">
        <v>37</v>
      </c>
      <c r="E10" s="7"/>
      <c r="F10" s="7"/>
      <c r="G10" s="185" t="s">
        <v>368</v>
      </c>
      <c r="H10" s="217">
        <f>+H9/3.6</f>
        <v>2.5</v>
      </c>
      <c r="I10" s="184" t="s">
        <v>369</v>
      </c>
      <c r="J10" s="163"/>
      <c r="K10" s="176"/>
      <c r="L10" s="16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59">
      <c r="A11" s="139" t="s">
        <v>159</v>
      </c>
      <c r="B11" s="187">
        <f>0.025/0.044+$B$10</f>
        <v>0.79218181818181821</v>
      </c>
      <c r="C11" s="187">
        <f>1/B11</f>
        <v>1.2623364700481983</v>
      </c>
      <c r="D11" s="139"/>
      <c r="E11" s="7"/>
      <c r="F11" s="7"/>
      <c r="G11" s="163"/>
      <c r="H11" s="183"/>
      <c r="I11" s="183"/>
      <c r="J11" s="163"/>
      <c r="K11" s="176"/>
      <c r="L11" s="16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59">
      <c r="A12" s="139" t="s">
        <v>148</v>
      </c>
      <c r="B12" s="187">
        <f>0.05/0.044+$B$10</f>
        <v>1.3603636363636364</v>
      </c>
      <c r="C12" s="187">
        <f>1/B12</f>
        <v>0.73509756749532207</v>
      </c>
      <c r="D12" s="139"/>
      <c r="E12" s="7"/>
      <c r="F12" s="7"/>
      <c r="G12" s="182" t="s">
        <v>447</v>
      </c>
      <c r="H12" s="183"/>
      <c r="I12" s="183"/>
      <c r="J12" s="163"/>
      <c r="K12" s="176"/>
      <c r="L12" s="182" t="s">
        <v>448</v>
      </c>
      <c r="M12" s="183"/>
      <c r="N12" s="183"/>
      <c r="O12" s="163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>
      <c r="A13" s="139" t="s">
        <v>149</v>
      </c>
      <c r="B13" s="187">
        <f>0.075/0.044+$B$10</f>
        <v>1.9285454545454546</v>
      </c>
      <c r="C13" s="187">
        <f>1/B13</f>
        <v>0.51852550202696335</v>
      </c>
      <c r="D13" s="139"/>
      <c r="E13" s="7"/>
      <c r="F13" s="7"/>
      <c r="G13" s="188" t="s">
        <v>439</v>
      </c>
      <c r="H13" s="189" t="s">
        <v>299</v>
      </c>
      <c r="I13" s="189" t="s">
        <v>343</v>
      </c>
      <c r="J13" s="190" t="s">
        <v>370</v>
      </c>
      <c r="K13" s="176"/>
      <c r="L13" s="188" t="s">
        <v>439</v>
      </c>
      <c r="M13" s="189" t="s">
        <v>299</v>
      </c>
      <c r="N13" s="189" t="s">
        <v>343</v>
      </c>
      <c r="O13" s="190" t="s">
        <v>370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>
      <c r="A14" s="139" t="s">
        <v>150</v>
      </c>
      <c r="B14" s="187">
        <f>0.1/0.044+$B$10</f>
        <v>2.4967272727272727</v>
      </c>
      <c r="C14" s="187">
        <f>1/B14</f>
        <v>0.40052432274978156</v>
      </c>
      <c r="D14" s="139"/>
      <c r="E14" s="7"/>
      <c r="F14" s="7"/>
      <c r="G14" s="191" t="s">
        <v>440</v>
      </c>
      <c r="H14" s="192" t="s">
        <v>344</v>
      </c>
      <c r="I14" s="192" t="s">
        <v>345</v>
      </c>
      <c r="J14" s="193" t="s">
        <v>123</v>
      </c>
      <c r="K14" s="176"/>
      <c r="L14" s="191" t="s">
        <v>440</v>
      </c>
      <c r="M14" s="192" t="s">
        <v>344</v>
      </c>
      <c r="N14" s="192" t="s">
        <v>345</v>
      </c>
      <c r="O14" s="193" t="s">
        <v>123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>
      <c r="A15" s="7"/>
      <c r="B15" s="64"/>
      <c r="C15" s="64"/>
      <c r="D15" s="7"/>
      <c r="E15" s="7"/>
      <c r="F15" s="7"/>
      <c r="G15" s="280" t="s">
        <v>338</v>
      </c>
      <c r="H15" s="195">
        <v>0.16</v>
      </c>
      <c r="I15" s="195">
        <v>0.82</v>
      </c>
      <c r="J15" s="196">
        <f>+H15/I15</f>
        <v>0.1951219512195122</v>
      </c>
      <c r="K15" s="176"/>
      <c r="L15" s="281" t="s">
        <v>449</v>
      </c>
      <c r="M15" s="195">
        <v>0.12</v>
      </c>
      <c r="N15" s="195">
        <v>1.73</v>
      </c>
      <c r="O15" s="196">
        <f>+M15/N15</f>
        <v>6.9364161849710976E-2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>
      <c r="A16" s="208" t="s">
        <v>413</v>
      </c>
      <c r="B16" s="186">
        <f>0.111+0.16+0.05</f>
        <v>0.32100000000000001</v>
      </c>
      <c r="C16" s="187">
        <f>1/B16</f>
        <v>3.1152647975077881</v>
      </c>
      <c r="D16" s="139" t="s">
        <v>40</v>
      </c>
      <c r="E16" s="7"/>
      <c r="F16" s="7"/>
      <c r="G16" s="281" t="s">
        <v>342</v>
      </c>
      <c r="H16" s="195">
        <v>0.05</v>
      </c>
      <c r="I16" s="195">
        <v>4.3999999999999997E-2</v>
      </c>
      <c r="J16" s="196">
        <f t="shared" ref="J16:J21" si="0">+H16/I16</f>
        <v>1.1363636363636365</v>
      </c>
      <c r="K16" s="176"/>
      <c r="L16" s="281" t="s">
        <v>342</v>
      </c>
      <c r="M16" s="195">
        <v>0.05</v>
      </c>
      <c r="N16" s="195">
        <v>4.3999999999999997E-2</v>
      </c>
      <c r="O16" s="196">
        <f t="shared" ref="O16:O21" si="1">+M16/N16</f>
        <v>1.1363636363636365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>
      <c r="A17" s="139" t="s">
        <v>147</v>
      </c>
      <c r="B17" s="187">
        <f>0.025/0.044+$B$16</f>
        <v>0.8891818181818183</v>
      </c>
      <c r="C17" s="187">
        <f>1/B17</f>
        <v>1.1246293834986196</v>
      </c>
      <c r="D17" s="139"/>
      <c r="E17" s="7"/>
      <c r="F17" s="7"/>
      <c r="G17" s="281" t="s">
        <v>441</v>
      </c>
      <c r="H17" s="195">
        <v>2.5000000000000001E-2</v>
      </c>
      <c r="I17" s="195">
        <v>1.1599999999999999</v>
      </c>
      <c r="J17" s="196">
        <f t="shared" si="0"/>
        <v>2.1551724137931036E-2</v>
      </c>
      <c r="K17" s="176"/>
      <c r="L17" s="282" t="s">
        <v>451</v>
      </c>
      <c r="M17" s="195">
        <v>0.1</v>
      </c>
      <c r="N17" s="195">
        <v>0.19</v>
      </c>
      <c r="O17" s="196">
        <f t="shared" si="1"/>
        <v>0.52631578947368418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>
      <c r="A18" s="139" t="s">
        <v>148</v>
      </c>
      <c r="B18" s="187">
        <f>0.05/0.044+B16</f>
        <v>1.4573636363636364</v>
      </c>
      <c r="C18" s="187">
        <f>1/B18</f>
        <v>0.68617054456989579</v>
      </c>
      <c r="D18" s="139"/>
      <c r="E18" s="7"/>
      <c r="F18" s="7"/>
      <c r="G18" s="280" t="s">
        <v>341</v>
      </c>
      <c r="H18" s="195">
        <v>0</v>
      </c>
      <c r="I18" s="195">
        <v>1</v>
      </c>
      <c r="J18" s="196">
        <f t="shared" si="0"/>
        <v>0</v>
      </c>
      <c r="K18" s="176"/>
      <c r="L18" s="281" t="s">
        <v>450</v>
      </c>
      <c r="M18" s="195">
        <v>4.0000000000000001E-3</v>
      </c>
      <c r="N18" s="195">
        <v>0.3</v>
      </c>
      <c r="O18" s="196">
        <f t="shared" si="1"/>
        <v>1.3333333333333334E-2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59">
      <c r="A19" s="139" t="s">
        <v>149</v>
      </c>
      <c r="B19" s="187">
        <f>0.075/0.044+B16</f>
        <v>2.0255454545454548</v>
      </c>
      <c r="C19" s="187">
        <f>1/B19</f>
        <v>0.49369417889681788</v>
      </c>
      <c r="D19" s="139"/>
      <c r="E19" s="7"/>
      <c r="F19" s="7"/>
      <c r="G19" s="281" t="s">
        <v>444</v>
      </c>
      <c r="H19" s="195">
        <v>0</v>
      </c>
      <c r="I19" s="195">
        <v>1</v>
      </c>
      <c r="J19" s="196">
        <f t="shared" si="0"/>
        <v>0</v>
      </c>
      <c r="K19" s="176"/>
      <c r="L19" s="281" t="s">
        <v>444</v>
      </c>
      <c r="M19" s="195">
        <v>0</v>
      </c>
      <c r="N19" s="195">
        <v>1</v>
      </c>
      <c r="O19" s="196">
        <f t="shared" si="1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59">
      <c r="A20" s="139" t="s">
        <v>150</v>
      </c>
      <c r="B20" s="187">
        <f>0.1/0.044+$B$16</f>
        <v>2.5937272727272731</v>
      </c>
      <c r="C20" s="187">
        <f>1/B20</f>
        <v>0.38554554694893267</v>
      </c>
      <c r="D20" s="139"/>
      <c r="E20" s="7"/>
      <c r="F20" s="7"/>
      <c r="G20" s="281" t="s">
        <v>445</v>
      </c>
      <c r="H20" s="197">
        <v>0</v>
      </c>
      <c r="I20" s="197">
        <v>1</v>
      </c>
      <c r="J20" s="198">
        <f t="shared" si="0"/>
        <v>0</v>
      </c>
      <c r="K20" s="176"/>
      <c r="L20" s="281" t="s">
        <v>445</v>
      </c>
      <c r="M20" s="197">
        <v>0</v>
      </c>
      <c r="N20" s="197">
        <v>1</v>
      </c>
      <c r="O20" s="198">
        <f t="shared" si="1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59">
      <c r="A21" s="7"/>
      <c r="B21" s="64"/>
      <c r="C21" s="64"/>
      <c r="D21" s="7"/>
      <c r="E21" s="7"/>
      <c r="F21" s="7"/>
      <c r="G21" s="281" t="s">
        <v>446</v>
      </c>
      <c r="H21" s="197">
        <v>0</v>
      </c>
      <c r="I21" s="197">
        <v>1</v>
      </c>
      <c r="J21" s="198">
        <f t="shared" si="0"/>
        <v>0</v>
      </c>
      <c r="K21" s="176"/>
      <c r="L21" s="281" t="s">
        <v>446</v>
      </c>
      <c r="M21" s="197">
        <v>0</v>
      </c>
      <c r="N21" s="197">
        <v>1</v>
      </c>
      <c r="O21" s="198">
        <f t="shared" si="1"/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59">
      <c r="A22" s="208" t="s">
        <v>412</v>
      </c>
      <c r="B22" s="186">
        <f>0.1/1.73+0.111+0.05</f>
        <v>0.21880346820809249</v>
      </c>
      <c r="C22" s="187">
        <f>1/B22</f>
        <v>4.5703114680474464</v>
      </c>
      <c r="D22" s="139"/>
      <c r="E22" s="7"/>
      <c r="F22" s="7"/>
      <c r="G22" s="176"/>
      <c r="H22" s="176"/>
      <c r="I22" s="176"/>
      <c r="J22" s="196">
        <f>SUM(J15:J21)</f>
        <v>1.3530373117210797</v>
      </c>
      <c r="K22" s="176"/>
      <c r="L22" s="176"/>
      <c r="M22" s="176"/>
      <c r="N22" s="176"/>
      <c r="O22" s="196">
        <f>SUM(O15:O21)</f>
        <v>1.7453769210203649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59">
      <c r="A23" s="139" t="s">
        <v>147</v>
      </c>
      <c r="B23" s="187">
        <f>0.025/0.044+$B$22</f>
        <v>0.78698528638991072</v>
      </c>
      <c r="C23" s="187">
        <f>1/B23</f>
        <v>1.2706717867461521</v>
      </c>
      <c r="D23" s="139"/>
      <c r="E23" s="7"/>
      <c r="F23" s="7"/>
      <c r="G23" s="199" t="s">
        <v>333</v>
      </c>
      <c r="H23" s="183"/>
      <c r="I23" s="183"/>
      <c r="J23" s="163"/>
      <c r="K23" s="176"/>
      <c r="L23" s="199" t="s">
        <v>333</v>
      </c>
      <c r="M23" s="183"/>
      <c r="N23" s="183"/>
      <c r="O23" s="16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>
      <c r="A24" s="139" t="s">
        <v>148</v>
      </c>
      <c r="B24" s="187">
        <f>0.05/0.044+$B$22</f>
        <v>1.3551671045717288</v>
      </c>
      <c r="C24" s="187">
        <f>1/B24</f>
        <v>0.73791637697406198</v>
      </c>
      <c r="D24" s="139"/>
      <c r="E24" s="7"/>
      <c r="F24" s="7"/>
      <c r="G24" s="279" t="s">
        <v>442</v>
      </c>
      <c r="H24" s="194">
        <v>5.7</v>
      </c>
      <c r="I24" s="200" t="s">
        <v>334</v>
      </c>
      <c r="J24" s="201"/>
      <c r="K24" s="176"/>
      <c r="L24" s="279" t="s">
        <v>442</v>
      </c>
      <c r="M24" s="194">
        <v>5.7</v>
      </c>
      <c r="N24" s="200" t="s">
        <v>334</v>
      </c>
      <c r="O24" s="20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>
      <c r="A25" s="139" t="s">
        <v>149</v>
      </c>
      <c r="B25" s="187">
        <f>0.075/0.044+$B$22</f>
        <v>1.9233489227535472</v>
      </c>
      <c r="C25" s="187">
        <f>1/B25</f>
        <v>0.51992646168868728</v>
      </c>
      <c r="D25" s="139"/>
      <c r="E25" s="7"/>
      <c r="F25" s="7"/>
      <c r="G25" s="279" t="s">
        <v>443</v>
      </c>
      <c r="H25" s="194">
        <f>5.7+3.6*H10</f>
        <v>14.7</v>
      </c>
      <c r="I25" s="194" t="s">
        <v>335</v>
      </c>
      <c r="J25" s="201"/>
      <c r="K25" s="176"/>
      <c r="L25" s="279" t="s">
        <v>443</v>
      </c>
      <c r="M25" s="194">
        <f>5.7+3.6*M10</f>
        <v>5.7</v>
      </c>
      <c r="N25" s="194" t="s">
        <v>335</v>
      </c>
      <c r="O25" s="20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>
      <c r="A26" s="139" t="s">
        <v>150</v>
      </c>
      <c r="B26" s="187">
        <f>0.1/0.044+$B$22</f>
        <v>2.4915307409353655</v>
      </c>
      <c r="C26" s="187">
        <f>1/B26</f>
        <v>0.40135968766918845</v>
      </c>
      <c r="D26" s="139"/>
      <c r="E26" s="7"/>
      <c r="F26" s="7"/>
      <c r="G26" s="183"/>
      <c r="H26" s="176"/>
      <c r="I26" s="176"/>
      <c r="J26" s="163"/>
      <c r="K26" s="163"/>
      <c r="L26" s="183"/>
      <c r="M26" s="176"/>
      <c r="N26" s="176"/>
      <c r="O26" s="163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ht="13.5" thickBot="1">
      <c r="A27" s="7"/>
      <c r="B27" s="64"/>
      <c r="C27" s="64"/>
      <c r="D27" s="7"/>
      <c r="E27" s="7"/>
      <c r="F27" s="7"/>
      <c r="G27" s="183" t="s">
        <v>336</v>
      </c>
      <c r="H27" s="202">
        <f>1/H24+1/H25+J22</f>
        <v>1.5965031190966614</v>
      </c>
      <c r="I27" s="183" t="s">
        <v>337</v>
      </c>
      <c r="J27" s="163"/>
      <c r="K27" s="163"/>
      <c r="L27" s="183" t="s">
        <v>336</v>
      </c>
      <c r="M27" s="202">
        <f>1/M24+1/M25+O22</f>
        <v>2.096254114002821</v>
      </c>
      <c r="N27" s="183" t="s">
        <v>337</v>
      </c>
      <c r="O27" s="163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ht="13.5" thickBot="1">
      <c r="A28" s="139" t="s">
        <v>154</v>
      </c>
      <c r="B28" s="186">
        <f>0.12/0.73+0.111+0.05</f>
        <v>0.32538356164383558</v>
      </c>
      <c r="C28" s="187">
        <f>1/B28</f>
        <v>3.073296004715194</v>
      </c>
      <c r="D28" s="139"/>
      <c r="E28" s="7" t="s">
        <v>2</v>
      </c>
      <c r="F28" s="7"/>
      <c r="G28" s="203" t="s">
        <v>371</v>
      </c>
      <c r="H28" s="204">
        <f>1/H27</f>
        <v>0.62636896103643269</v>
      </c>
      <c r="I28" s="205" t="s">
        <v>317</v>
      </c>
      <c r="J28" s="163"/>
      <c r="K28" s="163"/>
      <c r="L28" s="203" t="s">
        <v>371</v>
      </c>
      <c r="M28" s="204">
        <f>1/M27</f>
        <v>0.47704140128817141</v>
      </c>
      <c r="N28" s="205" t="s">
        <v>317</v>
      </c>
      <c r="O28" s="16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>
      <c r="A29" s="139" t="s">
        <v>147</v>
      </c>
      <c r="B29" s="187">
        <f>0.025/0.044+$B$28</f>
        <v>0.89356537982565376</v>
      </c>
      <c r="C29" s="187">
        <f>1/B29</f>
        <v>1.1191122916994758</v>
      </c>
      <c r="D29" s="139"/>
      <c r="E29" s="7"/>
      <c r="F29" s="7"/>
      <c r="G29" s="163"/>
      <c r="H29" s="163"/>
      <c r="I29" s="163"/>
      <c r="J29" s="163"/>
      <c r="K29" s="163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>
      <c r="A30" s="139" t="s">
        <v>148</v>
      </c>
      <c r="B30" s="187">
        <f>0.05/0.044+$B$28</f>
        <v>1.4617471980074721</v>
      </c>
      <c r="C30" s="187">
        <f>1/B30</f>
        <v>0.68411282153515596</v>
      </c>
      <c r="D30" s="13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>
      <c r="A31" s="139" t="s">
        <v>149</v>
      </c>
      <c r="B31" s="187">
        <f>0.075/0.044+$B$28</f>
        <v>2.02992901618929</v>
      </c>
      <c r="C31" s="187">
        <f>1/B31</f>
        <v>0.49262806335822651</v>
      </c>
      <c r="D31" s="139" t="s">
        <v>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>
      <c r="A32" s="139" t="s">
        <v>150</v>
      </c>
      <c r="B32" s="187">
        <f>0.1/0.044+$B$28</f>
        <v>2.5981108343711083</v>
      </c>
      <c r="C32" s="187">
        <f>1/B32</f>
        <v>0.38489505019213599</v>
      </c>
      <c r="D32" s="13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>
      <c r="A33" s="7"/>
      <c r="B33" s="64"/>
      <c r="C33" s="77" t="s">
        <v>82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>
      <c r="A34" s="6" t="s">
        <v>157</v>
      </c>
      <c r="B34" s="77" t="s">
        <v>158</v>
      </c>
      <c r="C34" s="77" t="s">
        <v>410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ht="14.25">
      <c r="A35" s="7"/>
      <c r="B35" s="64"/>
      <c r="C35" s="152" t="s">
        <v>365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>
      <c r="A36" s="139" t="s">
        <v>153</v>
      </c>
      <c r="B36" s="186">
        <f>0.04/1.16+0.18/0.82+0.05+0.111</f>
        <v>0.41499495374264084</v>
      </c>
      <c r="C36" s="187">
        <f>1/B36</f>
        <v>2.4096678549497499</v>
      </c>
      <c r="D36" s="139" t="s">
        <v>63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>
      <c r="A37" s="139" t="s">
        <v>147</v>
      </c>
      <c r="B37" s="187">
        <f>0.025/0.044+$B$36</f>
        <v>0.98317677192445907</v>
      </c>
      <c r="C37" s="187">
        <f>1/B37</f>
        <v>1.017111091876806</v>
      </c>
      <c r="D37" s="139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>
      <c r="A38" s="139" t="s">
        <v>148</v>
      </c>
      <c r="B38" s="187">
        <f>0.05/0.044+$B$36</f>
        <v>1.5513585901062772</v>
      </c>
      <c r="C38" s="187">
        <f>1/B38</f>
        <v>0.64459629538744756</v>
      </c>
      <c r="D38" s="13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>
      <c r="A39" s="139" t="s">
        <v>149</v>
      </c>
      <c r="B39" s="187">
        <f>0.075/0.044+$B$36</f>
        <v>2.1195404082880955</v>
      </c>
      <c r="C39" s="187">
        <f>1/B39</f>
        <v>0.47180039412774261</v>
      </c>
      <c r="D39" s="13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>
      <c r="A40" s="139" t="s">
        <v>150</v>
      </c>
      <c r="B40" s="187">
        <f>0.1/0.044+$B$36</f>
        <v>2.6877222264699139</v>
      </c>
      <c r="C40" s="187">
        <f>1/B40</f>
        <v>0.37206225782989927</v>
      </c>
      <c r="D40" s="139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>
      <c r="A41" s="7"/>
      <c r="B41" s="64"/>
      <c r="C41" s="6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>
      <c r="A42" s="139" t="s">
        <v>151</v>
      </c>
      <c r="B42" s="186">
        <f>0.04/1.16+0.12/0.82+0.05+0.111</f>
        <v>0.34182422203532381</v>
      </c>
      <c r="C42" s="187">
        <f>1/B42</f>
        <v>2.9254802191772731</v>
      </c>
      <c r="D42" s="139" t="s">
        <v>63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>
      <c r="A43" s="139" t="s">
        <v>147</v>
      </c>
      <c r="B43" s="187">
        <f>0.025/0.044+$B$42</f>
        <v>0.91000604021714204</v>
      </c>
      <c r="C43" s="187">
        <f>1/B43</f>
        <v>1.0988938048822006</v>
      </c>
      <c r="D43" s="139" t="s">
        <v>372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>
      <c r="A44" s="139" t="s">
        <v>148</v>
      </c>
      <c r="B44" s="187">
        <f>0.05/0.044+$B$42</f>
        <v>1.4781878583989603</v>
      </c>
      <c r="C44" s="187">
        <f>1/B44</f>
        <v>0.67650400070469374</v>
      </c>
      <c r="D44" s="139" t="s">
        <v>373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>
      <c r="A45" s="139" t="s">
        <v>149</v>
      </c>
      <c r="B45" s="187">
        <f>0.075/0.044+$B$42</f>
        <v>2.0463696765807784</v>
      </c>
      <c r="C45" s="187">
        <f>1/B45</f>
        <v>0.48867025906622691</v>
      </c>
      <c r="D45" s="139" t="s">
        <v>373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>
      <c r="A46" s="139" t="s">
        <v>150</v>
      </c>
      <c r="B46" s="187">
        <f>0.1/0.044+$B$42</f>
        <v>2.6145514947625967</v>
      </c>
      <c r="C46" s="187">
        <f>1/B46</f>
        <v>0.38247477703276245</v>
      </c>
      <c r="D46" s="139" t="s">
        <v>373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>
      <c r="A47" s="7"/>
      <c r="B47" s="64"/>
      <c r="C47" s="6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>
      <c r="A48" s="139" t="s">
        <v>152</v>
      </c>
      <c r="B48" s="186">
        <f>0.04/1.16+2*0.12/0.82+0.05+0.111</f>
        <v>0.48816568544995792</v>
      </c>
      <c r="C48" s="187">
        <f>1/B48</f>
        <v>2.0484848276016532</v>
      </c>
      <c r="D48" s="139" t="s">
        <v>64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>
      <c r="A49" s="139" t="s">
        <v>147</v>
      </c>
      <c r="B49" s="187">
        <f>0.025/0.044+$B$48</f>
        <v>1.0563475036317762</v>
      </c>
      <c r="C49" s="187">
        <f>1/B49</f>
        <v>0.94665817504367589</v>
      </c>
      <c r="D49" s="278" t="s">
        <v>374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>
      <c r="A50" s="139" t="s">
        <v>148</v>
      </c>
      <c r="B50" s="187">
        <f>0.05/0.044+$B$48</f>
        <v>1.6245293218135943</v>
      </c>
      <c r="C50" s="187">
        <f>1/B50</f>
        <v>0.61556291202156854</v>
      </c>
      <c r="D50" s="139" t="s">
        <v>373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>
      <c r="A51" s="139" t="s">
        <v>149</v>
      </c>
      <c r="B51" s="187">
        <f>0.075/0.044+$B$48</f>
        <v>2.1927111399954127</v>
      </c>
      <c r="C51" s="187">
        <f>1/B51</f>
        <v>0.45605642337462293</v>
      </c>
      <c r="D51" s="139" t="s">
        <v>373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</row>
    <row r="52" spans="1:59">
      <c r="A52" s="139" t="s">
        <v>150</v>
      </c>
      <c r="B52" s="187">
        <f>0.1/0.044+$B$48</f>
        <v>2.760892958177231</v>
      </c>
      <c r="C52" s="187">
        <f>1/B52</f>
        <v>0.36220165546012689</v>
      </c>
      <c r="D52" s="139" t="s">
        <v>373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59">
      <c r="A53" s="7"/>
      <c r="B53" s="64"/>
      <c r="C53" s="6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</row>
    <row r="54" spans="1:59">
      <c r="A54" s="139" t="s">
        <v>152</v>
      </c>
      <c r="B54" s="186">
        <f>0.04/1.16+2*0.12/0.82+0.05+0.111+0.16</f>
        <v>0.6481656854499579</v>
      </c>
      <c r="C54" s="187">
        <f>1/B54</f>
        <v>1.5428153980502655</v>
      </c>
      <c r="D54" s="139" t="s">
        <v>65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</row>
    <row r="55" spans="1:59">
      <c r="A55" s="139" t="s">
        <v>147</v>
      </c>
      <c r="B55" s="187">
        <f>0.025/0.044+$B$54</f>
        <v>1.2163475036317761</v>
      </c>
      <c r="C55" s="187">
        <f>1/B55</f>
        <v>0.82213347502600631</v>
      </c>
      <c r="D55" s="278" t="s">
        <v>374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</row>
    <row r="56" spans="1:59">
      <c r="A56" s="139" t="s">
        <v>148</v>
      </c>
      <c r="B56" s="187">
        <f>0.05/0.044+$B$54</f>
        <v>1.7845293218135945</v>
      </c>
      <c r="C56" s="187">
        <f>1/B56</f>
        <v>0.56037185143235013</v>
      </c>
      <c r="D56" s="139" t="s">
        <v>373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</row>
    <row r="57" spans="1:59">
      <c r="A57" s="139" t="s">
        <v>149</v>
      </c>
      <c r="B57" s="187">
        <f>0.075/0.044+$B$54</f>
        <v>2.3527111399954124</v>
      </c>
      <c r="C57" s="187">
        <f>1/B57</f>
        <v>0.42504155440091551</v>
      </c>
      <c r="D57" s="139" t="s">
        <v>373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</row>
    <row r="58" spans="1:59">
      <c r="A58" s="139" t="s">
        <v>150</v>
      </c>
      <c r="B58" s="187">
        <f>0.1/0.044+$B$54</f>
        <v>2.9208929581772307</v>
      </c>
      <c r="C58" s="187">
        <f>1/B58</f>
        <v>0.34236105681327167</v>
      </c>
      <c r="D58" s="139" t="s">
        <v>373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</row>
    <row r="59" spans="1:59">
      <c r="A59" s="7"/>
      <c r="B59" s="64"/>
      <c r="C59" s="6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</row>
    <row r="60" spans="1:59">
      <c r="A60" s="139" t="s">
        <v>155</v>
      </c>
      <c r="B60" s="186">
        <f>0.02/1.16+0.17/0.82+0.05+0.111</f>
        <v>0.38555845248107656</v>
      </c>
      <c r="C60" s="187">
        <f>1/B60</f>
        <v>2.593640454683277</v>
      </c>
      <c r="D60" s="139" t="s">
        <v>66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</row>
    <row r="61" spans="1:59">
      <c r="A61" s="139" t="s">
        <v>147</v>
      </c>
      <c r="B61" s="187">
        <f>0.025/0.044+$B$60</f>
        <v>0.9537402706628948</v>
      </c>
      <c r="C61" s="187">
        <f>1/B61</f>
        <v>1.0485034875427379</v>
      </c>
      <c r="D61" s="139" t="s">
        <v>375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</row>
    <row r="62" spans="1:59">
      <c r="A62" s="139" t="s">
        <v>148</v>
      </c>
      <c r="B62" s="187">
        <f>0.05/0.044+$B$60</f>
        <v>1.5219220888447129</v>
      </c>
      <c r="C62" s="187">
        <f>1/B62</f>
        <v>0.65706385847852267</v>
      </c>
      <c r="D62" s="139" t="s">
        <v>373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</row>
    <row r="63" spans="1:59">
      <c r="A63" s="139" t="s">
        <v>149</v>
      </c>
      <c r="B63" s="187">
        <f>0.075/0.044+$B$60</f>
        <v>2.0901039070265313</v>
      </c>
      <c r="C63" s="187">
        <f>1/B63</f>
        <v>0.47844511301002329</v>
      </c>
      <c r="D63" s="139" t="s">
        <v>373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</row>
    <row r="64" spans="1:59">
      <c r="A64" s="139" t="s">
        <v>150</v>
      </c>
      <c r="B64" s="187">
        <f>0.1/0.044+$B$60</f>
        <v>2.6582857252083496</v>
      </c>
      <c r="C64" s="187">
        <f>1/B64</f>
        <v>0.37618228564260997</v>
      </c>
      <c r="D64" s="139" t="s">
        <v>373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</row>
    <row r="65" spans="1:59">
      <c r="A65" s="7"/>
      <c r="B65" s="64"/>
      <c r="C65" s="6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</row>
    <row r="66" spans="1:59">
      <c r="A66" s="139" t="s">
        <v>156</v>
      </c>
      <c r="B66" s="186">
        <f>0.04/1.16+0.12/0.82+0.05+0.111</f>
        <v>0.34182422203532381</v>
      </c>
      <c r="C66" s="187">
        <f>1/B66</f>
        <v>2.9254802191772731</v>
      </c>
      <c r="D66" s="139" t="s">
        <v>67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</row>
    <row r="67" spans="1:59">
      <c r="A67" s="139" t="s">
        <v>147</v>
      </c>
      <c r="B67" s="187">
        <f>0.025/0.044+$B$66</f>
        <v>0.91000604021714204</v>
      </c>
      <c r="C67" s="187">
        <f>1/B67</f>
        <v>1.0988938048822006</v>
      </c>
      <c r="D67" s="139" t="s">
        <v>376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</row>
    <row r="68" spans="1:59">
      <c r="A68" s="139" t="s">
        <v>148</v>
      </c>
      <c r="B68" s="187">
        <f>0.05/0.044+$B$66</f>
        <v>1.4781878583989603</v>
      </c>
      <c r="C68" s="187">
        <f>1/B68</f>
        <v>0.67650400070469374</v>
      </c>
      <c r="D68" s="139" t="s">
        <v>373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</row>
    <row r="69" spans="1:59">
      <c r="A69" s="139" t="s">
        <v>149</v>
      </c>
      <c r="B69" s="187">
        <f>0.075/0.044+$B$66</f>
        <v>2.0463696765807784</v>
      </c>
      <c r="C69" s="187">
        <f>1/B69</f>
        <v>0.48867025906622691</v>
      </c>
      <c r="D69" s="139" t="s">
        <v>373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</row>
    <row r="70" spans="1:59">
      <c r="A70" s="139" t="s">
        <v>150</v>
      </c>
      <c r="B70" s="187">
        <f>0.1/0.044+$B$66</f>
        <v>2.6145514947625967</v>
      </c>
      <c r="C70" s="187">
        <f>1/B70</f>
        <v>0.38247477703276245</v>
      </c>
      <c r="D70" s="139" t="s">
        <v>373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</row>
    <row r="71" spans="1:59">
      <c r="A71" s="7"/>
      <c r="B71" s="64"/>
      <c r="C71" s="6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</row>
    <row r="72" spans="1:59">
      <c r="A72" s="139" t="s">
        <v>377</v>
      </c>
      <c r="B72" s="186">
        <f>0.02/1.16+0.12/0.82+0.05+0.111+0.169</f>
        <v>0.49358284272497899</v>
      </c>
      <c r="C72" s="187">
        <f>1/B72</f>
        <v>2.0260023514577332</v>
      </c>
      <c r="D72" s="139" t="s">
        <v>378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59">
      <c r="A73" s="139" t="s">
        <v>147</v>
      </c>
      <c r="B73" s="187">
        <f>0.025/0.044+$B$72</f>
        <v>1.0617646609067972</v>
      </c>
      <c r="C73" s="187">
        <f>1/B73</f>
        <v>0.94182829474278484</v>
      </c>
      <c r="D73" s="139" t="s">
        <v>379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</row>
    <row r="74" spans="1:59">
      <c r="A74" s="139" t="s">
        <v>148</v>
      </c>
      <c r="B74" s="187">
        <f>0.05/0.044+$B$72</f>
        <v>1.6299464790886153</v>
      </c>
      <c r="C74" s="187">
        <f>1/B74</f>
        <v>0.61351707729639693</v>
      </c>
      <c r="D74" s="139" t="s">
        <v>373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  <row r="75" spans="1:59">
      <c r="A75" s="139" t="s">
        <v>149</v>
      </c>
      <c r="B75" s="187">
        <f>0.075/0.044+$B$72</f>
        <v>2.1981282972704337</v>
      </c>
      <c r="C75" s="187">
        <f>1/B75</f>
        <v>0.45493249927302626</v>
      </c>
      <c r="D75" s="139" t="s">
        <v>373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</row>
    <row r="76" spans="1:59">
      <c r="A76" s="139" t="s">
        <v>150</v>
      </c>
      <c r="B76" s="187">
        <f>0.1/0.044+$B$72</f>
        <v>2.766310115452252</v>
      </c>
      <c r="C76" s="187">
        <f>1/B76</f>
        <v>0.36149237007598273</v>
      </c>
      <c r="D76" s="139" t="s">
        <v>373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  <row r="77" spans="1:59">
      <c r="A77" s="7"/>
      <c r="B77" s="37"/>
      <c r="C77" s="6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59">
      <c r="A78" s="8" t="s">
        <v>419</v>
      </c>
      <c r="B78" s="254"/>
      <c r="C78" s="255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</row>
    <row r="79" spans="1:59">
      <c r="A79" s="11"/>
      <c r="B79" s="35"/>
      <c r="C79" s="25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</row>
    <row r="80" spans="1:59">
      <c r="A80" s="16" t="s">
        <v>411</v>
      </c>
      <c r="B80" s="17"/>
      <c r="C80" s="19"/>
      <c r="D80" s="7"/>
      <c r="E80" s="44"/>
      <c r="F80" s="44"/>
      <c r="G80" s="44"/>
      <c r="H80" s="44"/>
      <c r="I80" s="4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</row>
    <row r="81" spans="1:59">
      <c r="A81" s="11" t="s">
        <v>129</v>
      </c>
      <c r="B81" s="17"/>
      <c r="C81" s="19"/>
      <c r="D81" s="7"/>
      <c r="E81" s="44"/>
      <c r="F81" s="44"/>
      <c r="G81" s="44"/>
      <c r="H81" s="44"/>
      <c r="I81" s="4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</row>
    <row r="82" spans="1:59">
      <c r="A82" s="14"/>
      <c r="B82" s="25"/>
      <c r="C82" s="15"/>
      <c r="D82" s="163"/>
      <c r="E82" s="17"/>
      <c r="F82" s="17"/>
      <c r="G82" s="17"/>
      <c r="H82" s="17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</row>
    <row r="83" spans="1:59">
      <c r="A83" s="56" t="s">
        <v>130</v>
      </c>
      <c r="B83" s="206" t="s">
        <v>131</v>
      </c>
      <c r="C83" s="134" t="s">
        <v>415</v>
      </c>
      <c r="D83" s="44"/>
      <c r="E83" s="17"/>
      <c r="F83" s="17"/>
      <c r="G83" s="17"/>
      <c r="H83" s="17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>
      <c r="A84" s="32"/>
      <c r="B84" s="207" t="s">
        <v>132</v>
      </c>
      <c r="C84" s="259" t="s">
        <v>423</v>
      </c>
      <c r="D84" s="44"/>
      <c r="E84" s="17"/>
      <c r="F84" s="17"/>
      <c r="G84" s="17"/>
      <c r="H84" s="17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</row>
    <row r="85" spans="1:59">
      <c r="A85" s="208" t="s">
        <v>380</v>
      </c>
      <c r="B85" s="139">
        <v>20</v>
      </c>
      <c r="C85" s="139">
        <v>5</v>
      </c>
      <c r="D85" s="17"/>
      <c r="E85" s="17"/>
      <c r="F85" s="17"/>
      <c r="G85" s="17"/>
      <c r="H85" s="17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</row>
    <row r="86" spans="1:59">
      <c r="A86" s="208" t="s">
        <v>381</v>
      </c>
      <c r="B86" s="139">
        <v>20</v>
      </c>
      <c r="C86" s="139">
        <v>4</v>
      </c>
      <c r="D86" s="17"/>
      <c r="E86" s="17"/>
      <c r="F86" s="17"/>
      <c r="G86" s="17"/>
      <c r="H86" s="17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</row>
    <row r="87" spans="1:59">
      <c r="A87" s="208" t="s">
        <v>382</v>
      </c>
      <c r="B87" s="139">
        <v>20</v>
      </c>
      <c r="C87" s="139">
        <v>3.7</v>
      </c>
      <c r="D87" s="17"/>
      <c r="E87" s="17"/>
      <c r="F87" s="17"/>
      <c r="G87" s="17"/>
      <c r="H87" s="17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</row>
    <row r="88" spans="1:59">
      <c r="A88" s="208" t="s">
        <v>383</v>
      </c>
      <c r="B88" s="139">
        <v>20</v>
      </c>
      <c r="C88" s="139">
        <v>3.1</v>
      </c>
      <c r="D88" s="17"/>
      <c r="E88" s="17"/>
      <c r="F88" s="17"/>
      <c r="G88" s="17"/>
      <c r="H88" s="17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</row>
    <row r="89" spans="1:59">
      <c r="A89" s="253"/>
      <c r="B89" s="17"/>
      <c r="C89" s="17"/>
      <c r="D89" s="17"/>
      <c r="E89" s="17"/>
      <c r="F89" s="17"/>
      <c r="G89" s="17"/>
      <c r="H89" s="17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</row>
    <row r="90" spans="1:59">
      <c r="A90" s="208" t="s">
        <v>133</v>
      </c>
      <c r="B90" s="139">
        <v>20</v>
      </c>
      <c r="C90" s="139">
        <v>6.4</v>
      </c>
      <c r="D90" s="1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</row>
    <row r="91" spans="1:59">
      <c r="A91" s="208" t="s">
        <v>384</v>
      </c>
      <c r="B91" s="139">
        <v>20</v>
      </c>
      <c r="C91" s="139">
        <v>4.8</v>
      </c>
      <c r="D91" s="1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</row>
    <row r="92" spans="1:59">
      <c r="A92" s="208" t="s">
        <v>385</v>
      </c>
      <c r="B92" s="186">
        <v>20</v>
      </c>
      <c r="C92" s="187">
        <v>4.4000000000000004</v>
      </c>
      <c r="D92" s="1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</row>
    <row r="93" spans="1:59">
      <c r="A93" s="208" t="s">
        <v>386</v>
      </c>
      <c r="B93" s="186"/>
      <c r="C93" s="187">
        <v>3.6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</row>
    <row r="94" spans="1:59">
      <c r="A94" s="247"/>
      <c r="B94" s="37"/>
      <c r="C94" s="6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</row>
    <row r="95" spans="1:59">
      <c r="A95" s="208" t="s">
        <v>134</v>
      </c>
      <c r="B95" s="186">
        <v>20</v>
      </c>
      <c r="C95" s="187">
        <v>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</row>
    <row r="96" spans="1:59">
      <c r="A96" s="208" t="s">
        <v>387</v>
      </c>
      <c r="B96" s="186">
        <v>20</v>
      </c>
      <c r="C96" s="187">
        <v>4.5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</row>
    <row r="97" spans="1:59">
      <c r="A97" s="208" t="s">
        <v>388</v>
      </c>
      <c r="B97" s="186">
        <v>20</v>
      </c>
      <c r="C97" s="187">
        <v>4.0999999999999996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</row>
    <row r="98" spans="1:59">
      <c r="A98" s="208" t="s">
        <v>389</v>
      </c>
      <c r="B98" s="186">
        <v>20</v>
      </c>
      <c r="C98" s="187">
        <v>3.4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</row>
    <row r="99" spans="1:59">
      <c r="A99" s="7"/>
      <c r="B99" s="37"/>
      <c r="C99" s="6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</row>
    <row r="100" spans="1:59">
      <c r="A100" s="56" t="s">
        <v>130</v>
      </c>
      <c r="B100" s="206" t="s">
        <v>131</v>
      </c>
      <c r="C100" s="134" t="s">
        <v>416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</row>
    <row r="101" spans="1:59">
      <c r="A101" s="137"/>
      <c r="B101" s="257"/>
      <c r="C101" s="135" t="s">
        <v>417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</row>
    <row r="102" spans="1:59">
      <c r="A102" s="32"/>
      <c r="B102" s="258" t="s">
        <v>132</v>
      </c>
      <c r="C102" s="259" t="s">
        <v>424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</row>
    <row r="103" spans="1:59">
      <c r="A103" s="208" t="s">
        <v>380</v>
      </c>
      <c r="B103" s="139">
        <v>20</v>
      </c>
      <c r="C103" s="60">
        <v>2.9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</row>
    <row r="104" spans="1:59">
      <c r="A104" s="208" t="s">
        <v>381</v>
      </c>
      <c r="B104" s="139">
        <v>20</v>
      </c>
      <c r="C104" s="139">
        <v>2.5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</row>
    <row r="105" spans="1:59">
      <c r="A105" s="208" t="s">
        <v>382</v>
      </c>
      <c r="B105" s="139">
        <v>20</v>
      </c>
      <c r="C105" s="139">
        <v>2.4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</row>
    <row r="106" spans="1:59">
      <c r="A106" s="252"/>
      <c r="B106" s="13"/>
      <c r="C106" s="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</row>
    <row r="107" spans="1:59">
      <c r="A107" s="208" t="s">
        <v>133</v>
      </c>
      <c r="B107" s="139">
        <v>20</v>
      </c>
      <c r="C107" s="139">
        <v>4.3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</row>
    <row r="108" spans="1:59">
      <c r="A108" s="208" t="s">
        <v>384</v>
      </c>
      <c r="B108" s="139">
        <v>20</v>
      </c>
      <c r="C108" s="139">
        <v>3.6</v>
      </c>
      <c r="D108" s="7"/>
      <c r="E108" s="7"/>
      <c r="F108" s="140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>
      <c r="A109" s="208" t="s">
        <v>385</v>
      </c>
      <c r="B109" s="186">
        <v>20</v>
      </c>
      <c r="C109" s="187">
        <v>3.3</v>
      </c>
      <c r="D109" s="7"/>
      <c r="E109" s="14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>
      <c r="A110" s="247"/>
      <c r="C110" s="17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>
      <c r="A111" s="208" t="s">
        <v>134</v>
      </c>
      <c r="B111" s="186">
        <v>20</v>
      </c>
      <c r="C111" s="187">
        <v>3.4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>
      <c r="A112" s="208" t="s">
        <v>387</v>
      </c>
      <c r="B112" s="186">
        <v>20</v>
      </c>
      <c r="C112" s="187">
        <v>3.1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>
      <c r="A113" s="208" t="s">
        <v>388</v>
      </c>
      <c r="B113" s="186">
        <v>20</v>
      </c>
      <c r="C113" s="187">
        <v>2.9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>
      <c r="A114" s="16"/>
      <c r="B114" s="37"/>
      <c r="C114" s="6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>
      <c r="A115" s="56" t="s">
        <v>418</v>
      </c>
      <c r="B115" s="13"/>
      <c r="C115" s="13"/>
      <c r="D115" s="1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>
      <c r="A116" s="208" t="s">
        <v>420</v>
      </c>
      <c r="B116" s="208" t="s">
        <v>2</v>
      </c>
      <c r="C116" s="250">
        <v>2.64</v>
      </c>
      <c r="D116" s="208" t="s">
        <v>2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>
      <c r="A117" s="208" t="s">
        <v>421</v>
      </c>
      <c r="B117" s="139"/>
      <c r="C117" s="139">
        <v>4.05</v>
      </c>
      <c r="D117" s="13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>
      <c r="A118" s="208" t="s">
        <v>422</v>
      </c>
      <c r="B118" s="186"/>
      <c r="C118" s="139">
        <v>2.2200000000000002</v>
      </c>
      <c r="D118" s="13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>
      <c r="A119" s="7"/>
      <c r="B119" s="37"/>
      <c r="C119" s="6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>
      <c r="A120" s="56" t="s">
        <v>13</v>
      </c>
      <c r="B120" s="13"/>
      <c r="C120" s="13"/>
      <c r="D120" s="1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59">
      <c r="A121" s="208" t="s">
        <v>68</v>
      </c>
      <c r="B121" s="208" t="s">
        <v>2</v>
      </c>
      <c r="C121" s="251">
        <v>0.72</v>
      </c>
      <c r="D121" s="208" t="s">
        <v>425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59">
      <c r="A122" s="208" t="s">
        <v>390</v>
      </c>
      <c r="B122" s="139"/>
      <c r="C122" s="251">
        <f>1/(1/C121+0.05/0.19)</f>
        <v>0.60530973451327441</v>
      </c>
      <c r="D122" s="13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59">
      <c r="A123" s="208" t="s">
        <v>391</v>
      </c>
      <c r="B123" s="186"/>
      <c r="C123" s="251">
        <f>1/(1/C121+0.1/0.19)</f>
        <v>0.52213740458015268</v>
      </c>
      <c r="D123" s="13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59">
      <c r="A124" s="208" t="s">
        <v>438</v>
      </c>
      <c r="B124" s="186"/>
      <c r="C124" s="251">
        <f>1/(1/C121+0.025/0.019)</f>
        <v>0.36972972972972973</v>
      </c>
      <c r="D124" s="1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59">
      <c r="A125" s="7"/>
      <c r="B125" s="37"/>
      <c r="C125" s="6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59">
      <c r="A126" s="7"/>
      <c r="B126" s="37"/>
      <c r="C126" s="6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59">
      <c r="A127" s="7"/>
      <c r="B127" s="37"/>
      <c r="C127" s="6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59">
      <c r="A128" s="7"/>
      <c r="B128" s="37"/>
      <c r="C128" s="6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1:59">
      <c r="A129" s="7"/>
      <c r="B129" s="37"/>
      <c r="C129" s="6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1:59">
      <c r="A130" s="7"/>
      <c r="B130" s="37"/>
      <c r="C130" s="6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1:59">
      <c r="A131" s="7"/>
      <c r="B131" s="37"/>
      <c r="C131" s="6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1:59">
      <c r="A132" s="7"/>
      <c r="B132" s="37"/>
      <c r="C132" s="6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1:59">
      <c r="A133" s="7"/>
      <c r="B133" s="37"/>
      <c r="C133" s="6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1:59">
      <c r="A134" s="7"/>
      <c r="B134" s="37"/>
      <c r="C134" s="6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1:59">
      <c r="A135" s="7"/>
      <c r="B135" s="37"/>
      <c r="C135" s="6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1:59">
      <c r="A136" s="7"/>
      <c r="B136" s="37"/>
      <c r="C136" s="6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1:59">
      <c r="A137" s="7"/>
      <c r="B137" s="37"/>
      <c r="C137" s="6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1:59">
      <c r="A138" s="7"/>
      <c r="B138" s="37"/>
      <c r="C138" s="6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1:59">
      <c r="A139" s="7"/>
      <c r="B139" s="37"/>
      <c r="C139" s="6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1:59">
      <c r="A140" s="7"/>
      <c r="B140" s="37"/>
      <c r="C140" s="6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1:59">
      <c r="A141" s="7"/>
      <c r="B141" s="37"/>
      <c r="C141" s="6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1:59">
      <c r="A142" s="7"/>
      <c r="B142" s="37"/>
      <c r="C142" s="6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1:59">
      <c r="A143" s="7"/>
      <c r="B143" s="37"/>
      <c r="C143" s="6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1:59">
      <c r="A144" s="7"/>
      <c r="B144" s="37"/>
      <c r="C144" s="6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1:59">
      <c r="A145" s="7"/>
      <c r="B145" s="37"/>
      <c r="C145" s="6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1:59">
      <c r="A146" s="7"/>
      <c r="B146" s="37"/>
      <c r="C146" s="6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1:59">
      <c r="A147" s="7"/>
      <c r="B147" s="37"/>
      <c r="C147" s="6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1:59">
      <c r="A148" s="7"/>
      <c r="B148" s="37"/>
      <c r="C148" s="6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1:59">
      <c r="A149" s="7"/>
      <c r="B149" s="37"/>
      <c r="C149" s="6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1:59">
      <c r="A150" s="7"/>
      <c r="B150" s="37"/>
      <c r="C150" s="6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1:59">
      <c r="A151" s="7"/>
      <c r="B151" s="37"/>
      <c r="C151" s="6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1:59">
      <c r="A152" s="7"/>
      <c r="B152" s="37"/>
      <c r="C152" s="6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1:59">
      <c r="A153" s="7"/>
      <c r="B153" s="37"/>
      <c r="C153" s="6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1:59">
      <c r="A154" s="7"/>
      <c r="B154" s="37"/>
      <c r="C154" s="6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1:59">
      <c r="A155" s="7"/>
      <c r="B155" s="37"/>
      <c r="C155" s="6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1:59">
      <c r="A156" s="7"/>
      <c r="B156" s="37"/>
      <c r="C156" s="6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1:59">
      <c r="A157" s="7"/>
      <c r="B157" s="37"/>
      <c r="C157" s="6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1:59">
      <c r="A158" s="7"/>
      <c r="B158" s="37"/>
      <c r="C158" s="6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1:59">
      <c r="A159" s="7"/>
      <c r="B159" s="37"/>
      <c r="C159" s="6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1:59">
      <c r="A160" s="7"/>
      <c r="B160" s="37"/>
      <c r="C160" s="6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1:59">
      <c r="A161" s="7"/>
      <c r="B161" s="37"/>
      <c r="C161" s="6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1:59">
      <c r="A162" s="7"/>
      <c r="B162" s="37"/>
      <c r="C162" s="6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1:59">
      <c r="A163" s="7"/>
      <c r="B163" s="37"/>
      <c r="C163" s="6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1:59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1:59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1:59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1:59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1:59">
      <c r="A168" s="44"/>
      <c r="B168" s="44"/>
      <c r="C168" s="44"/>
      <c r="D168" s="44"/>
      <c r="E168" s="44"/>
      <c r="F168" s="44"/>
      <c r="G168" s="44"/>
      <c r="H168" s="44"/>
      <c r="I168" s="44"/>
      <c r="J168" s="17"/>
      <c r="K168" s="17"/>
      <c r="L168" s="1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1:59">
      <c r="A169" s="44"/>
      <c r="B169" s="44"/>
      <c r="C169" s="44"/>
      <c r="D169" s="44"/>
      <c r="E169" s="44"/>
      <c r="F169" s="44"/>
      <c r="G169" s="44"/>
      <c r="H169" s="44"/>
      <c r="I169" s="44"/>
      <c r="J169" s="17"/>
      <c r="K169" s="17"/>
      <c r="L169" s="1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1:59">
      <c r="A170" s="4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1:59">
      <c r="A171" s="4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1:59">
      <c r="A172" s="4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1:59">
      <c r="A173" s="4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1:59">
      <c r="A174" s="4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1:59">
      <c r="A175" s="4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1:59">
      <c r="A176" s="4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1:5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1:59">
      <c r="A178" s="17"/>
      <c r="B178" s="17"/>
      <c r="C178" s="209"/>
      <c r="D178" s="17" t="s">
        <v>2</v>
      </c>
      <c r="E178" s="17"/>
      <c r="F178" s="17"/>
      <c r="G178" s="17"/>
      <c r="H178" s="17"/>
      <c r="I178" s="17"/>
      <c r="J178" s="17"/>
      <c r="K178" s="17"/>
      <c r="L178" s="1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1:59">
      <c r="A179" s="17"/>
      <c r="B179" s="17" t="s">
        <v>2</v>
      </c>
      <c r="C179" s="209"/>
      <c r="D179" s="17" t="s">
        <v>2</v>
      </c>
      <c r="E179" s="17"/>
      <c r="F179" s="17"/>
      <c r="G179" s="17"/>
      <c r="H179" s="17"/>
      <c r="I179" s="17"/>
      <c r="J179" s="17"/>
      <c r="K179" s="17"/>
      <c r="L179" s="1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1:59">
      <c r="A180" s="210"/>
      <c r="B180" s="176"/>
      <c r="C180" s="176"/>
      <c r="D180" s="176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1:59">
      <c r="A181" s="169"/>
      <c r="B181" s="176"/>
      <c r="C181" s="211"/>
      <c r="D181" s="211"/>
      <c r="E181" s="1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1:59">
      <c r="A182" s="44"/>
      <c r="B182" s="176"/>
      <c r="C182" s="17"/>
      <c r="D182" s="17"/>
      <c r="E182" s="1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1:59">
      <c r="A183" s="76"/>
      <c r="B183" s="176"/>
      <c r="C183" s="17"/>
      <c r="D183" s="17"/>
      <c r="E183" s="1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1:59">
      <c r="A184" s="17"/>
      <c r="B184" s="176"/>
      <c r="C184" s="17"/>
      <c r="D184" s="17"/>
      <c r="E184" s="1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1:59">
      <c r="A185" s="17"/>
      <c r="B185" s="176"/>
      <c r="C185" s="17"/>
      <c r="D185" s="17"/>
      <c r="E185" s="1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1:59">
      <c r="A186" s="44"/>
      <c r="B186" s="176"/>
      <c r="C186" s="17"/>
      <c r="D186" s="17"/>
      <c r="E186" s="1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1:59">
      <c r="A187" s="17"/>
      <c r="B187" s="176"/>
      <c r="C187" s="35"/>
      <c r="D187" s="17"/>
      <c r="E187" s="1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1:59">
      <c r="A188" s="17"/>
      <c r="B188" s="176"/>
      <c r="C188" s="17"/>
      <c r="D188" s="17"/>
      <c r="E188" s="1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1:59">
      <c r="A189" s="44" t="s">
        <v>392</v>
      </c>
      <c r="B189" s="176"/>
      <c r="C189" s="17"/>
      <c r="D189" s="17"/>
      <c r="E189" s="1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1:59" ht="13.5" thickBot="1">
      <c r="A190" s="17"/>
      <c r="B190" s="176"/>
      <c r="C190" s="17"/>
      <c r="D190" s="17"/>
      <c r="E190" s="1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1:59">
      <c r="A191" s="68" t="s">
        <v>32</v>
      </c>
      <c r="B191" s="212"/>
      <c r="C191" s="213" t="s">
        <v>31</v>
      </c>
      <c r="D191" s="214" t="s">
        <v>12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1:59" ht="13.5" thickBot="1">
      <c r="A192" s="31"/>
      <c r="B192" s="215"/>
      <c r="C192" s="47"/>
      <c r="D192" s="216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1:59">
      <c r="A193" s="16" t="s">
        <v>44</v>
      </c>
      <c r="B193" s="176"/>
      <c r="C193" s="137" t="s">
        <v>45</v>
      </c>
      <c r="D193" s="66"/>
      <c r="E193" s="7" t="s">
        <v>2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1:59">
      <c r="A194" s="11" t="s">
        <v>33</v>
      </c>
      <c r="B194" s="176"/>
      <c r="C194" s="136">
        <f>0.3/0.44</f>
        <v>0.68181818181818177</v>
      </c>
      <c r="D194" s="66" t="s">
        <v>38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1:59">
      <c r="A195" s="11" t="s">
        <v>34</v>
      </c>
      <c r="B195" s="176"/>
      <c r="C195" s="136">
        <f>0.05/0.044</f>
        <v>1.1363636363636365</v>
      </c>
      <c r="D195" s="66" t="s">
        <v>39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1:59">
      <c r="A196" s="11" t="s">
        <v>35</v>
      </c>
      <c r="B196" s="176"/>
      <c r="C196" s="136">
        <f>0.075/0.044</f>
        <v>1.7045454545454546</v>
      </c>
      <c r="D196" s="66" t="s">
        <v>2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1:59">
      <c r="A197" s="11" t="s">
        <v>36</v>
      </c>
      <c r="B197" s="176"/>
      <c r="C197" s="136">
        <f>0.1/0.044</f>
        <v>2.2727272727272729</v>
      </c>
      <c r="D197" s="66" t="s">
        <v>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1:59">
      <c r="A198" s="16" t="s">
        <v>46</v>
      </c>
      <c r="B198" s="176"/>
      <c r="C198" s="66"/>
      <c r="D198" s="66" t="s">
        <v>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1:59">
      <c r="A199" s="11" t="s">
        <v>41</v>
      </c>
      <c r="B199" s="176"/>
      <c r="C199" s="136">
        <f>0.01/0.025</f>
        <v>0.39999999999999997</v>
      </c>
      <c r="D199" s="66" t="s">
        <v>42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1:59">
      <c r="A200" s="11" t="s">
        <v>33</v>
      </c>
      <c r="B200" s="176"/>
      <c r="C200" s="136">
        <f>0.025/0.025</f>
        <v>1</v>
      </c>
      <c r="D200" s="66" t="s">
        <v>42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1:59">
      <c r="A201" s="11" t="s">
        <v>34</v>
      </c>
      <c r="B201" s="176"/>
      <c r="C201" s="136">
        <f>0.05/0.025</f>
        <v>2</v>
      </c>
      <c r="D201" s="66" t="s">
        <v>42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1:59">
      <c r="A202" s="11" t="s">
        <v>35</v>
      </c>
      <c r="B202" s="176"/>
      <c r="C202" s="136">
        <f>0.075/0.025</f>
        <v>2.9999999999999996</v>
      </c>
      <c r="D202" s="66" t="s">
        <v>42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1:59">
      <c r="A203" s="11" t="s">
        <v>36</v>
      </c>
      <c r="B203" s="176"/>
      <c r="C203" s="136">
        <f>0.1/0.025</f>
        <v>4</v>
      </c>
      <c r="D203" s="66" t="s">
        <v>42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1:59">
      <c r="A204" s="11" t="s">
        <v>41</v>
      </c>
      <c r="B204" s="176"/>
      <c r="C204" s="136">
        <f>0.01/0.019</f>
        <v>0.52631578947368418</v>
      </c>
      <c r="D204" s="66" t="s">
        <v>43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1:59">
      <c r="A205" s="11" t="s">
        <v>33</v>
      </c>
      <c r="B205" s="176"/>
      <c r="C205" s="136">
        <f>0.025/0.019</f>
        <v>1.3157894736842106</v>
      </c>
      <c r="D205" s="66" t="str">
        <f>+D204</f>
        <v>Tipo rígido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1:59">
      <c r="A206" s="11" t="s">
        <v>34</v>
      </c>
      <c r="B206" s="176"/>
      <c r="C206" s="136">
        <f>0.05/0.019</f>
        <v>2.6315789473684212</v>
      </c>
      <c r="D206" s="66" t="s">
        <v>43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1:59">
      <c r="A207" s="11" t="s">
        <v>35</v>
      </c>
      <c r="B207" s="176"/>
      <c r="C207" s="136">
        <f>0.075/0.019</f>
        <v>3.9473684210526314</v>
      </c>
      <c r="D207" s="66" t="s">
        <v>43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1:59">
      <c r="A208" s="11" t="s">
        <v>36</v>
      </c>
      <c r="B208" s="176"/>
      <c r="C208" s="136">
        <f>0.1/0.019</f>
        <v>5.2631578947368425</v>
      </c>
      <c r="D208" s="66" t="s">
        <v>43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1:59">
      <c r="A209" s="16" t="s">
        <v>47</v>
      </c>
      <c r="B209" s="176"/>
      <c r="C209" s="66"/>
      <c r="D209" s="6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1:59">
      <c r="A210" s="11" t="s">
        <v>48</v>
      </c>
      <c r="B210" s="176"/>
      <c r="C210" s="136">
        <f>0.05/0.056</f>
        <v>0.8928571428571429</v>
      </c>
      <c r="D210" s="6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1:59">
      <c r="A211" s="11" t="s">
        <v>50</v>
      </c>
      <c r="B211" s="176"/>
      <c r="C211" s="136">
        <f>0.003/0.056</f>
        <v>5.3571428571428568E-2</v>
      </c>
      <c r="D211" s="6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1:59">
      <c r="A212" s="11" t="s">
        <v>51</v>
      </c>
      <c r="B212" s="176"/>
      <c r="C212" s="136">
        <f>0.005/0.056</f>
        <v>8.9285714285714288E-2</v>
      </c>
      <c r="D212" s="6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1:59">
      <c r="A213" s="16" t="s">
        <v>49</v>
      </c>
      <c r="B213" s="176"/>
      <c r="C213" s="136"/>
      <c r="D213" s="6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1:59">
      <c r="A214" s="11" t="s">
        <v>34</v>
      </c>
      <c r="B214" s="176"/>
      <c r="C214" s="136">
        <f>0.05/0.16</f>
        <v>0.3125</v>
      </c>
      <c r="D214" s="6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1:59">
      <c r="A215" s="11" t="s">
        <v>36</v>
      </c>
      <c r="B215" s="176"/>
      <c r="C215" s="136">
        <f>0.1/0.16</f>
        <v>0.625</v>
      </c>
      <c r="D215" s="6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1:59">
      <c r="A216" s="11" t="s">
        <v>52</v>
      </c>
      <c r="B216" s="176"/>
      <c r="C216" s="136">
        <f>0.15/0.16</f>
        <v>0.9375</v>
      </c>
      <c r="D216" s="6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1:59">
      <c r="A217" s="16" t="s">
        <v>53</v>
      </c>
      <c r="B217" s="176"/>
      <c r="C217" s="136"/>
      <c r="D217" s="6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1:59">
      <c r="A218" s="11" t="s">
        <v>54</v>
      </c>
      <c r="B218" s="176"/>
      <c r="C218" s="136">
        <f>0.012/0.2</f>
        <v>0.06</v>
      </c>
      <c r="D218" s="66" t="s">
        <v>58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1:59">
      <c r="A219" s="11" t="s">
        <v>55</v>
      </c>
      <c r="B219" s="176"/>
      <c r="C219" s="136">
        <f>0.019/0.2</f>
        <v>9.4999999999999987E-2</v>
      </c>
      <c r="D219" s="66" t="s">
        <v>58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1:59">
      <c r="A220" s="11" t="s">
        <v>56</v>
      </c>
      <c r="B220" s="176"/>
      <c r="C220" s="136">
        <f>0.025/0.2</f>
        <v>0.125</v>
      </c>
      <c r="D220" s="66" t="s">
        <v>58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1:59">
      <c r="A221" s="11" t="s">
        <v>57</v>
      </c>
      <c r="B221" s="176"/>
      <c r="C221" s="136">
        <f>0.05/0.2</f>
        <v>0.25</v>
      </c>
      <c r="D221" s="66" t="s">
        <v>58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1:59">
      <c r="A222" s="11" t="s">
        <v>60</v>
      </c>
      <c r="B222" s="176"/>
      <c r="C222" s="66"/>
      <c r="D222" s="66"/>
      <c r="E222" s="176"/>
      <c r="F222" s="176"/>
      <c r="G222" s="176"/>
      <c r="H222" s="176"/>
      <c r="I222" s="176"/>
      <c r="J222" s="176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1:59">
      <c r="A223" s="11" t="s">
        <v>61</v>
      </c>
      <c r="B223" s="176"/>
      <c r="C223" s="66"/>
      <c r="D223" s="66"/>
      <c r="E223" s="176"/>
      <c r="F223" s="176"/>
      <c r="G223" s="176"/>
      <c r="H223" s="176"/>
      <c r="I223" s="176"/>
      <c r="J223" s="176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1:59">
      <c r="A224" s="11" t="s">
        <v>59</v>
      </c>
      <c r="B224" s="176"/>
      <c r="C224" s="66"/>
      <c r="D224" s="66"/>
      <c r="E224" s="176"/>
      <c r="F224" s="176"/>
      <c r="G224" s="176"/>
      <c r="H224" s="176"/>
      <c r="I224" s="176"/>
      <c r="J224" s="176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1:59">
      <c r="A225" s="14" t="s">
        <v>62</v>
      </c>
      <c r="B225" s="176"/>
      <c r="C225" s="60"/>
      <c r="D225" s="60"/>
      <c r="E225" s="176"/>
      <c r="F225" s="176"/>
      <c r="G225" s="176"/>
      <c r="H225" s="176"/>
      <c r="I225" s="176"/>
      <c r="J225" s="176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1:59">
      <c r="A226" s="7"/>
      <c r="B226" s="176"/>
      <c r="C226" s="7"/>
      <c r="D226" s="7"/>
      <c r="E226" s="176"/>
      <c r="F226" s="176"/>
      <c r="G226" s="176"/>
      <c r="H226" s="176"/>
      <c r="I226" s="176"/>
      <c r="J226" s="176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1:59">
      <c r="B227" s="176"/>
      <c r="E227" s="176"/>
      <c r="F227" s="176"/>
      <c r="G227" s="176"/>
      <c r="H227" s="176"/>
      <c r="I227" s="176"/>
      <c r="J227" s="176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1:59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1:5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1:59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1:59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1:59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1:59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1:59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1:59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1:59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1:59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1:59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1:5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1:59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1:59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1:59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1:59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1:59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1:59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1:59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1:59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1:59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1:5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1:59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1:59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1:59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1:59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1:59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1:59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1:59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1:59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1:59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1: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1:59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1:59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1:59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1:59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1:59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1:59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1:59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1:59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1:59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1:5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1:59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1:59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1:59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1:59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1:59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1:59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1:59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1:59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1:59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1:5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1:59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1:59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1:59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1:59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1:59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1:59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1:59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1:59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1:59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1:5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1:59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1:59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1:59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1:59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1:59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1:59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1:59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1:59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1:59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1:5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1:59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1:59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1:59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1:59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1:59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1:59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1:59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1:59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1:59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1:5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1:59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1:59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1:59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1:59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1:59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1:59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1:59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1:59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1:59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1:5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1:59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1:59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1:59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1:59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1:59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1:59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1:59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1:59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1:59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1:5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1:59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1:59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1:59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1:59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1:59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1:59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1:59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1:59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1:59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1:5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1:59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1:59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1:59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1:59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1:59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1:59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1:59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1:59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1:59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1:5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1:59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1:59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1:59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1:59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1:59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1:59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1:59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1:59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1:59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1: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1:59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1:59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1:59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1:59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1:59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1:59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  <row r="366" spans="1:59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</row>
    <row r="367" spans="1:59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</row>
    <row r="368" spans="1:59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</row>
    <row r="369" spans="1:5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</row>
    <row r="370" spans="1:59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</row>
    <row r="371" spans="1:59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</row>
    <row r="372" spans="1:59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</row>
    <row r="373" spans="1:59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</row>
    <row r="374" spans="1:59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</row>
    <row r="375" spans="1:59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</row>
    <row r="376" spans="1:59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</row>
    <row r="377" spans="1:59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</row>
    <row r="378" spans="1:59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</row>
    <row r="379" spans="1:5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</row>
    <row r="380" spans="1:59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</row>
    <row r="381" spans="1:59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</row>
    <row r="382" spans="1:59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</row>
    <row r="383" spans="1:59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</row>
    <row r="384" spans="1:59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</row>
    <row r="385" spans="1:59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</row>
    <row r="386" spans="1:59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</row>
    <row r="387" spans="1:59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</row>
    <row r="388" spans="1:59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</row>
    <row r="389" spans="1:5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</row>
    <row r="390" spans="1:59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</row>
    <row r="391" spans="1:59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</row>
    <row r="392" spans="1:59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</row>
    <row r="393" spans="1:59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</row>
    <row r="394" spans="1:59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</row>
    <row r="395" spans="1:59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</row>
    <row r="396" spans="1:59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</row>
    <row r="397" spans="1:59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</row>
    <row r="398" spans="1:59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</row>
    <row r="399" spans="1:5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</row>
    <row r="400" spans="1:59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</row>
    <row r="401" spans="1:59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</row>
    <row r="402" spans="1:59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</row>
    <row r="403" spans="1:59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</row>
    <row r="404" spans="1:59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</row>
    <row r="405" spans="1:59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</row>
    <row r="406" spans="1:59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</row>
    <row r="407" spans="1:59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</row>
    <row r="408" spans="1:59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</row>
    <row r="409" spans="1:5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</row>
    <row r="410" spans="1:59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</row>
    <row r="411" spans="1:59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</row>
    <row r="412" spans="1:59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</row>
    <row r="413" spans="1:59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</row>
    <row r="414" spans="1:59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</row>
    <row r="415" spans="1:59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</row>
    <row r="416" spans="1:59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</row>
    <row r="417" spans="1:59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</row>
    <row r="418" spans="1:59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</row>
    <row r="419" spans="1:5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</row>
    <row r="420" spans="1:59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</row>
    <row r="421" spans="1:59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</row>
    <row r="422" spans="1:59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</row>
    <row r="423" spans="1:59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</row>
    <row r="424" spans="1:59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</row>
    <row r="425" spans="1:59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</row>
    <row r="426" spans="1:59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</row>
    <row r="427" spans="1:59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</row>
    <row r="428" spans="1:59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</row>
    <row r="429" spans="1:5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</row>
    <row r="430" spans="1:59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</row>
    <row r="431" spans="1:59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</row>
    <row r="432" spans="1:59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</row>
    <row r="433" spans="1:59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</row>
    <row r="434" spans="1:59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</row>
    <row r="435" spans="1:59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</row>
    <row r="436" spans="1:59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</row>
    <row r="437" spans="1:59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</row>
    <row r="438" spans="1:59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</row>
    <row r="439" spans="1:5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</row>
    <row r="440" spans="1:59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</row>
    <row r="441" spans="1:59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</row>
    <row r="442" spans="1:59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</row>
    <row r="443" spans="1:59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</row>
    <row r="444" spans="1:59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</row>
    <row r="445" spans="1:59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</row>
    <row r="446" spans="1:59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</row>
    <row r="447" spans="1:59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</row>
    <row r="448" spans="1:59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</row>
    <row r="449" spans="1:5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</row>
    <row r="450" spans="1:59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</row>
    <row r="451" spans="1:59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</row>
    <row r="452" spans="1:59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</row>
    <row r="453" spans="1:59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</row>
    <row r="454" spans="1:59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</row>
    <row r="455" spans="1:59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</row>
    <row r="456" spans="1:59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</row>
    <row r="457" spans="1:59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</row>
    <row r="458" spans="1:59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</row>
    <row r="459" spans="1: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</row>
    <row r="460" spans="1:59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</row>
    <row r="461" spans="1:59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</row>
    <row r="462" spans="1:59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</row>
    <row r="463" spans="1:59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</row>
    <row r="464" spans="1:59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</row>
    <row r="465" spans="1:59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</row>
    <row r="466" spans="1:59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</row>
    <row r="467" spans="1:59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</row>
    <row r="468" spans="1:59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</row>
    <row r="469" spans="1:5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</row>
    <row r="470" spans="1:59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</row>
    <row r="471" spans="1:59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</row>
    <row r="472" spans="1:59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</row>
    <row r="473" spans="1:59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</row>
    <row r="474" spans="1:59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</row>
    <row r="475" spans="1:59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</row>
    <row r="476" spans="1:59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</row>
    <row r="477" spans="1:59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</row>
    <row r="478" spans="1:59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</row>
    <row r="479" spans="1:5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</row>
    <row r="480" spans="1:59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</row>
    <row r="481" spans="1:59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</row>
    <row r="482" spans="1:59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</row>
    <row r="483" spans="1:59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</row>
    <row r="484" spans="1:59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</row>
    <row r="485" spans="1:59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</row>
    <row r="486" spans="1:59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</row>
    <row r="487" spans="1:59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</row>
    <row r="488" spans="1:59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</row>
    <row r="489" spans="1:5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</row>
    <row r="490" spans="1:59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</row>
    <row r="491" spans="1:59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</row>
    <row r="492" spans="1:59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</row>
    <row r="493" spans="1:59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</row>
    <row r="494" spans="1:59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</row>
    <row r="495" spans="1:59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</row>
    <row r="496" spans="1:59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</row>
    <row r="497" spans="1:59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</row>
    <row r="498" spans="1:59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</row>
    <row r="499" spans="1:5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</row>
    <row r="500" spans="1:59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</row>
    <row r="501" spans="1:59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</row>
    <row r="502" spans="1:59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</row>
    <row r="503" spans="1:59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</row>
    <row r="504" spans="1:59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</row>
    <row r="505" spans="1:59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</row>
    <row r="506" spans="1:59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</row>
    <row r="507" spans="1:59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</row>
    <row r="508" spans="1:59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</row>
    <row r="509" spans="1:5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</row>
    <row r="510" spans="1:59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</row>
    <row r="511" spans="1:59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</row>
    <row r="512" spans="1:59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</row>
    <row r="513" spans="1:59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</row>
    <row r="514" spans="1:59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</row>
    <row r="515" spans="1:59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</row>
    <row r="516" spans="1:59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</row>
    <row r="517" spans="1:59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</row>
    <row r="518" spans="1:59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</row>
    <row r="519" spans="1:5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</row>
    <row r="520" spans="1:59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</row>
    <row r="521" spans="1:59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</row>
    <row r="522" spans="1:59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</row>
    <row r="523" spans="1:59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</row>
    <row r="524" spans="1:59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</row>
    <row r="525" spans="1:59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</row>
    <row r="526" spans="1:59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</row>
    <row r="527" spans="1:59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</row>
    <row r="528" spans="1:59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</row>
    <row r="529" spans="1:5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</row>
    <row r="530" spans="1:59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</row>
    <row r="531" spans="1:59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</row>
    <row r="532" spans="1:59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</row>
    <row r="533" spans="1:59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</row>
    <row r="534" spans="1:59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</row>
    <row r="535" spans="1:59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</row>
    <row r="536" spans="1:59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</row>
    <row r="537" spans="1:59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</row>
    <row r="538" spans="1:59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</row>
    <row r="539" spans="1:5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</row>
    <row r="540" spans="1:59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</row>
    <row r="541" spans="1:59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</row>
    <row r="542" spans="1:59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</row>
    <row r="543" spans="1:59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</row>
    <row r="544" spans="1:59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</row>
    <row r="545" spans="1:59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</row>
    <row r="546" spans="1:59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</row>
    <row r="547" spans="1:59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</row>
    <row r="548" spans="1:59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</row>
    <row r="549" spans="1:5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</row>
    <row r="550" spans="1:59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</row>
    <row r="551" spans="1:59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</row>
    <row r="552" spans="1:59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</row>
    <row r="553" spans="1:59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</row>
    <row r="554" spans="1:59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</row>
    <row r="555" spans="1:59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</row>
    <row r="556" spans="1:59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</row>
    <row r="557" spans="1:59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</row>
    <row r="558" spans="1:59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</row>
    <row r="559" spans="1: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</row>
    <row r="560" spans="1:59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</row>
    <row r="561" spans="1:59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</row>
    <row r="562" spans="1:59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</row>
    <row r="563" spans="1:59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</row>
    <row r="564" spans="1:59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</row>
    <row r="565" spans="1:59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</row>
    <row r="566" spans="1:59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</row>
    <row r="567" spans="1:59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</row>
    <row r="568" spans="1:59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</row>
    <row r="569" spans="1:5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</row>
    <row r="570" spans="1:59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</row>
    <row r="571" spans="1:59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</row>
    <row r="572" spans="1:59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</row>
    <row r="573" spans="1:59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</row>
    <row r="574" spans="1:59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A31" workbookViewId="0">
      <selection activeCell="G3" sqref="G3"/>
    </sheetView>
  </sheetViews>
  <sheetFormatPr baseColWidth="10" defaultRowHeight="12.75"/>
  <cols>
    <col min="2" max="8" width="6.7109375" customWidth="1"/>
    <col min="9" max="9" width="9.7109375" customWidth="1"/>
    <col min="10" max="22" width="6.7109375" customWidth="1"/>
  </cols>
  <sheetData>
    <row r="1" spans="9:22">
      <c r="I1" s="1" t="s">
        <v>522</v>
      </c>
      <c r="M1" s="67" t="str">
        <f>VLOOKUP(Lugar!E84,Lugar!A65:C84,2)</f>
        <v>Rama Caída</v>
      </c>
    </row>
    <row r="2" spans="9:22">
      <c r="I2" s="1" t="s">
        <v>160</v>
      </c>
    </row>
    <row r="3" spans="9:22">
      <c r="I3" s="1" t="s">
        <v>161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>
      <c r="I4" s="1" t="s">
        <v>162</v>
      </c>
      <c r="J4" s="78">
        <f t="shared" ref="J4" si="0">IF($M$1="San Rafael",B49,IF($M$1="Rama Caída",B67,IF($M$1="Malargue",B85,IF($M$1="Bardas Blancas",B104,IF($M$1="La Consulta",B122,IF($M$1="San Carlos",B140,IF($M$1="General Alvear",B157,IF($M$1="Dagoberto Sardina",B175,0))))))))</f>
        <v>0</v>
      </c>
      <c r="K4" s="78">
        <f>IF($M$1="San Rafael",C49,IF($M$1="Rama Caída",C67,IF($M$1="Malargue",C85,IF($M$1="Bardas Blancas",C104,IF($M$1="La Consulta",C122,IF($M$1="San Carlos",C140,IF($M$1="General Alvear",C157,IF($M$1="Dagoberto Sardina",C175,0))))))))</f>
        <v>11.9</v>
      </c>
      <c r="L4" s="78">
        <f t="shared" ref="L4:V4" si="1">IF($M$1="San Rafael",D49,IF($M$1="Rama Caída",D67,IF($M$1="Malargue",D85,IF($M$1="Bardas Blancas",D104,IF($M$1="La Consulta",D122,IF($M$1="San Carlos",D140,IF($M$1="General Alvear",D157,IF($M$1="Dagoberto Sardina",D175,0))))))))</f>
        <v>29.5</v>
      </c>
      <c r="M4" s="78">
        <f t="shared" si="1"/>
        <v>115.5</v>
      </c>
      <c r="N4" s="78">
        <f t="shared" si="1"/>
        <v>237.4</v>
      </c>
      <c r="O4" s="78">
        <f t="shared" si="1"/>
        <v>329.9</v>
      </c>
      <c r="P4" s="78">
        <f t="shared" si="1"/>
        <v>340.9</v>
      </c>
      <c r="Q4" s="78">
        <f t="shared" si="1"/>
        <v>282.2</v>
      </c>
      <c r="R4" s="78">
        <f t="shared" si="1"/>
        <v>170</v>
      </c>
      <c r="S4" s="78">
        <f t="shared" si="1"/>
        <v>74.599999999999994</v>
      </c>
      <c r="T4" s="78">
        <f t="shared" si="1"/>
        <v>37</v>
      </c>
      <c r="U4" s="78">
        <f t="shared" si="1"/>
        <v>2.2000000000000002</v>
      </c>
      <c r="V4" s="78">
        <f t="shared" si="1"/>
        <v>1631.2</v>
      </c>
    </row>
    <row r="5" spans="9:22">
      <c r="I5" s="1"/>
    </row>
    <row r="6" spans="9:22">
      <c r="I6" s="1" t="s">
        <v>163</v>
      </c>
      <c r="J6" s="1" t="s">
        <v>164</v>
      </c>
    </row>
    <row r="7" spans="9:22">
      <c r="I7" s="1" t="s">
        <v>165</v>
      </c>
      <c r="J7" s="78">
        <f t="shared" ref="J7:J10" si="2">IF($M$1="San Rafael",B52,IF($M$1="Rama Caída",B70,IF($M$1="Malargue",B88,IF($M$1="Bardas Blancas",B107,IF($M$1="La Consulta",B125,IF($M$1="San Carlos",B143,IF($M$1="General Alvear",B160,IF($M$1="Dagoberto Sardina",B178,0))))))))</f>
        <v>0</v>
      </c>
      <c r="K7" s="78">
        <f t="shared" ref="K7:K10" si="3">IF($M$1="San Rafael",C52,IF($M$1="Rama Caída",C70,IF($M$1="Malargue",C88,IF($M$1="Bardas Blancas",C107,IF($M$1="La Consulta",C125,IF($M$1="San Carlos",C143,IF($M$1="General Alvear",C160,IF($M$1="Dagoberto Sardina",C178,0))))))))</f>
        <v>19.41</v>
      </c>
      <c r="L7" s="78">
        <f t="shared" ref="L7:L10" si="4">IF($M$1="San Rafael",D52,IF($M$1="Rama Caída",D70,IF($M$1="Malargue",D88,IF($M$1="Bardas Blancas",D107,IF($M$1="La Consulta",D125,IF($M$1="San Carlos",D143,IF($M$1="General Alvear",D160,IF($M$1="Dagoberto Sardina",D178,0))))))))</f>
        <v>10.27</v>
      </c>
      <c r="M7" s="78">
        <f t="shared" ref="M7:M10" si="5">IF($M$1="San Rafael",E52,IF($M$1="Rama Caída",E70,IF($M$1="Malargue",E88,IF($M$1="Bardas Blancas",E107,IF($M$1="La Consulta",E125,IF($M$1="San Carlos",E143,IF($M$1="General Alvear",E160,IF($M$1="Dagoberto Sardina",E178,0))))))))</f>
        <v>2.92</v>
      </c>
      <c r="N7" s="78">
        <f t="shared" ref="N7:N10" si="6">IF($M$1="San Rafael",F52,IF($M$1="Rama Caída",F70,IF($M$1="Malargue",F88,IF($M$1="Bardas Blancas",F107,IF($M$1="La Consulta",F125,IF($M$1="San Carlos",F143,IF($M$1="General Alvear",F160,IF($M$1="Dagoberto Sardina",F178,0))))))))</f>
        <v>1.37</v>
      </c>
      <c r="O7" s="78">
        <f t="shared" ref="O7:O10" si="7">IF($M$1="San Rafael",G52,IF($M$1="Rama Caída",G70,IF($M$1="Malargue",G88,IF($M$1="Bardas Blancas",G107,IF($M$1="La Consulta",G125,IF($M$1="San Carlos",G143,IF($M$1="General Alvear",G160,IF($M$1="Dagoberto Sardina",G178,0))))))))</f>
        <v>0.9</v>
      </c>
      <c r="P7" s="78">
        <f t="shared" ref="P7:P10" si="8">IF($M$1="San Rafael",H52,IF($M$1="Rama Caída",H70,IF($M$1="Malargue",H88,IF($M$1="Bardas Blancas",H107,IF($M$1="La Consulta",H125,IF($M$1="San Carlos",H143,IF($M$1="General Alvear",H160,IF($M$1="Dagoberto Sardina",H178,0))))))))</f>
        <v>1</v>
      </c>
      <c r="Q7" s="78">
        <f t="shared" ref="Q7:Q10" si="9">IF($M$1="San Rafael",I52,IF($M$1="Rama Caída",I70,IF($M$1="Malargue",I88,IF($M$1="Bardas Blancas",I107,IF($M$1="La Consulta",I125,IF($M$1="San Carlos",I143,IF($M$1="General Alvear",I160,IF($M$1="Dagoberto Sardina",I178,0))))))))</f>
        <v>1.28</v>
      </c>
      <c r="R7" s="78">
        <f t="shared" ref="R7:R10" si="10">IF($M$1="San Rafael",J52,IF($M$1="Rama Caída",J70,IF($M$1="Malargue",J88,IF($M$1="Bardas Blancas",J107,IF($M$1="La Consulta",J125,IF($M$1="San Carlos",J143,IF($M$1="General Alvear",J160,IF($M$1="Dagoberto Sardina",J178,0))))))))</f>
        <v>1.85</v>
      </c>
      <c r="S7" s="78">
        <f t="shared" ref="S7:S10" si="11">IF($M$1="San Rafael",K52,IF($M$1="Rama Caída",K70,IF($M$1="Malargue",K88,IF($M$1="Bardas Blancas",K107,IF($M$1="La Consulta",K125,IF($M$1="San Carlos",K143,IF($M$1="General Alvear",K160,IF($M$1="Dagoberto Sardina",K178,0))))))))</f>
        <v>3.58</v>
      </c>
      <c r="T7" s="78">
        <f t="shared" ref="T7:T10" si="12">IF($M$1="San Rafael",L52,IF($M$1="Rama Caída",L70,IF($M$1="Malargue",L88,IF($M$1="Bardas Blancas",L107,IF($M$1="La Consulta",L125,IF($M$1="San Carlos",L143,IF($M$1="General Alvear",L160,IF($M$1="Dagoberto Sardina",L178,0))))))))</f>
        <v>6.1</v>
      </c>
      <c r="U7" s="78">
        <f t="shared" ref="U7:U10" si="13">IF($M$1="San Rafael",M52,IF($M$1="Rama Caída",M70,IF($M$1="Malargue",M88,IF($M$1="Bardas Blancas",M107,IF($M$1="La Consulta",M125,IF($M$1="San Carlos",M143,IF($M$1="General Alvear",M160,IF($M$1="Dagoberto Sardina",M178,0))))))))</f>
        <v>0</v>
      </c>
    </row>
    <row r="8" spans="9:22">
      <c r="I8" s="1" t="s">
        <v>166</v>
      </c>
      <c r="J8" s="78">
        <f t="shared" si="2"/>
        <v>0</v>
      </c>
      <c r="K8" s="78">
        <f t="shared" si="3"/>
        <v>19.260000000000002</v>
      </c>
      <c r="L8" s="78">
        <f t="shared" si="4"/>
        <v>10.19</v>
      </c>
      <c r="M8" s="78">
        <f t="shared" si="5"/>
        <v>2.9</v>
      </c>
      <c r="N8" s="78">
        <f t="shared" si="6"/>
        <v>1.36</v>
      </c>
      <c r="O8" s="78">
        <f t="shared" si="7"/>
        <v>0.89</v>
      </c>
      <c r="P8" s="78">
        <f t="shared" si="8"/>
        <v>0.99</v>
      </c>
      <c r="Q8" s="78">
        <f t="shared" si="9"/>
        <v>1.27</v>
      </c>
      <c r="R8" s="78">
        <f t="shared" si="10"/>
        <v>1.84</v>
      </c>
      <c r="S8" s="78">
        <f t="shared" si="11"/>
        <v>3.55</v>
      </c>
      <c r="T8" s="78">
        <f t="shared" si="12"/>
        <v>6.06</v>
      </c>
      <c r="U8" s="78">
        <f t="shared" si="13"/>
        <v>0</v>
      </c>
    </row>
    <row r="9" spans="9:22">
      <c r="I9" s="1" t="s">
        <v>167</v>
      </c>
      <c r="J9" s="78">
        <f t="shared" si="2"/>
        <v>0</v>
      </c>
      <c r="K9" s="78">
        <f t="shared" si="3"/>
        <v>15.75</v>
      </c>
      <c r="L9" s="78">
        <f t="shared" si="4"/>
        <v>8.5</v>
      </c>
      <c r="M9" s="78">
        <f t="shared" si="5"/>
        <v>2.4700000000000002</v>
      </c>
      <c r="N9" s="78">
        <f t="shared" si="6"/>
        <v>1.17</v>
      </c>
      <c r="O9" s="78">
        <f t="shared" si="7"/>
        <v>0.77</v>
      </c>
      <c r="P9" s="78">
        <f t="shared" si="8"/>
        <v>0.85</v>
      </c>
      <c r="Q9" s="78">
        <f t="shared" si="9"/>
        <v>1.0900000000000001</v>
      </c>
      <c r="R9" s="78">
        <f t="shared" si="10"/>
        <v>1.55</v>
      </c>
      <c r="S9" s="78">
        <f t="shared" si="11"/>
        <v>2.92</v>
      </c>
      <c r="T9" s="78">
        <f t="shared" si="12"/>
        <v>4.9400000000000004</v>
      </c>
      <c r="U9" s="78">
        <f t="shared" si="13"/>
        <v>0</v>
      </c>
    </row>
    <row r="10" spans="9:22">
      <c r="I10" s="1" t="s">
        <v>168</v>
      </c>
      <c r="J10" s="78">
        <f t="shared" si="2"/>
        <v>0</v>
      </c>
      <c r="K10" s="78">
        <f t="shared" si="3"/>
        <v>15.98</v>
      </c>
      <c r="L10" s="78">
        <f t="shared" si="4"/>
        <v>8.6300000000000008</v>
      </c>
      <c r="M10" s="78">
        <f t="shared" si="5"/>
        <v>2.5099999999999998</v>
      </c>
      <c r="N10" s="78">
        <f t="shared" si="6"/>
        <v>1.19</v>
      </c>
      <c r="O10" s="78">
        <f t="shared" si="7"/>
        <v>0.78</v>
      </c>
      <c r="P10" s="78">
        <f t="shared" si="8"/>
        <v>0.87</v>
      </c>
      <c r="Q10" s="78">
        <f t="shared" si="9"/>
        <v>1.1100000000000001</v>
      </c>
      <c r="R10" s="78">
        <f t="shared" si="10"/>
        <v>1.57</v>
      </c>
      <c r="S10" s="78">
        <f t="shared" si="11"/>
        <v>2.96</v>
      </c>
      <c r="T10" s="78">
        <f t="shared" si="12"/>
        <v>5.01</v>
      </c>
      <c r="U10" s="78">
        <f t="shared" si="13"/>
        <v>0</v>
      </c>
    </row>
    <row r="11" spans="9:22">
      <c r="I11" s="1"/>
    </row>
    <row r="12" spans="9:22">
      <c r="I12" s="1" t="s">
        <v>163</v>
      </c>
      <c r="J12" s="1" t="s">
        <v>169</v>
      </c>
    </row>
    <row r="13" spans="9:22">
      <c r="I13" s="1" t="s">
        <v>165</v>
      </c>
      <c r="J13" s="78">
        <f t="shared" ref="J13:J16" si="14">IF($M$1="San Rafael",B58,IF($M$1="Rama Caída",B76,IF($M$1="Malargue",B94,IF($M$1="Bardas Blancas",B113,IF($M$1="La Consulta",B131,IF($M$1="San Carlos",B149,IF($M$1="General Alvear",B166,IF($M$1="Dagoberto Sardina",B184,0))))))))</f>
        <v>0</v>
      </c>
      <c r="K13" s="78">
        <f t="shared" ref="K13:K16" si="15">IF($M$1="San Rafael",C58,IF($M$1="Rama Caída",C76,IF($M$1="Malargue",C94,IF($M$1="Bardas Blancas",C113,IF($M$1="La Consulta",C131,IF($M$1="San Carlos",C149,IF($M$1="General Alvear",C166,IF($M$1="Dagoberto Sardina",C184,0))))))))</f>
        <v>949.45532277078553</v>
      </c>
      <c r="L13" s="78">
        <f t="shared" ref="L13:L16" si="16">IF($M$1="San Rafael",D58,IF($M$1="Rama Caída",D76,IF($M$1="Malargue",D94,IF($M$1="Bardas Blancas",D113,IF($M$1="La Consulta",D131,IF($M$1="San Carlos",D149,IF($M$1="General Alvear",D166,IF($M$1="Dagoberto Sardina",D184,0))))))))</f>
        <v>502.36507804512968</v>
      </c>
      <c r="M13" s="78">
        <f t="shared" ref="M13:M16" si="17">IF($M$1="San Rafael",E58,IF($M$1="Rama Caída",E76,IF($M$1="Malargue",E94,IF($M$1="Bardas Blancas",E113,IF($M$1="La Consulta",E131,IF($M$1="San Carlos",E149,IF($M$1="General Alvear",E166,IF($M$1="Dagoberto Sardina",E184,0))))))))</f>
        <v>142.83408256005634</v>
      </c>
      <c r="N13" s="78">
        <f t="shared" ref="N13:N16" si="18">IF($M$1="San Rafael",F58,IF($M$1="Rama Caída",F76,IF($M$1="Malargue",F94,IF($M$1="Bardas Blancas",F113,IF($M$1="La Consulta",F131,IF($M$1="San Carlos",F149,IF($M$1="General Alvear",F166,IF($M$1="Dagoberto Sardina",F184,0))))))))</f>
        <v>67.014620927149721</v>
      </c>
      <c r="O13" s="78">
        <f t="shared" ref="O13:O16" si="19">IF($M$1="San Rafael",G58,IF($M$1="Rama Caída",G76,IF($M$1="Malargue",G94,IF($M$1="Bardas Blancas",G113,IF($M$1="La Consulta",G131,IF($M$1="San Carlos",G149,IF($M$1="General Alvear",G166,IF($M$1="Dagoberto Sardina",G184,0))))))))</f>
        <v>44.02420352878449</v>
      </c>
      <c r="P13" s="78">
        <f t="shared" ref="P13:P16" si="20">IF($M$1="San Rafael",H58,IF($M$1="Rama Caída",H76,IF($M$1="Malargue",H94,IF($M$1="Bardas Blancas",H113,IF($M$1="La Consulta",H131,IF($M$1="San Carlos",H149,IF($M$1="General Alvear",H166,IF($M$1="Dagoberto Sardina",H184,0))))))))</f>
        <v>48.915781698649432</v>
      </c>
      <c r="Q13" s="78">
        <f t="shared" ref="Q13:Q16" si="21">IF($M$1="San Rafael",I58,IF($M$1="Rama Caída",I76,IF($M$1="Malargue",I94,IF($M$1="Bardas Blancas",I113,IF($M$1="La Consulta",I131,IF($M$1="San Carlos",I149,IF($M$1="General Alvear",I166,IF($M$1="Dagoberto Sardina",I184,0))))))))</f>
        <v>62.612200574271277</v>
      </c>
      <c r="R13" s="78">
        <f t="shared" ref="R13:R16" si="22">IF($M$1="San Rafael",J58,IF($M$1="Rama Caída",J76,IF($M$1="Malargue",J94,IF($M$1="Bardas Blancas",J113,IF($M$1="La Consulta",J131,IF($M$1="San Carlos",J149,IF($M$1="General Alvear",J166,IF($M$1="Dagoberto Sardina",J184,0))))))))</f>
        <v>90.494196142501451</v>
      </c>
      <c r="S13" s="78">
        <f t="shared" ref="S13:S16" si="23">IF($M$1="San Rafael",K58,IF($M$1="Rama Caída",K76,IF($M$1="Malargue",K94,IF($M$1="Bardas Blancas",K113,IF($M$1="La Consulta",K131,IF($M$1="San Carlos",K149,IF($M$1="General Alvear",K166,IF($M$1="Dagoberto Sardina",K184,0))))))))</f>
        <v>175.11849848116498</v>
      </c>
      <c r="T13" s="78">
        <f t="shared" ref="T13:T16" si="24">IF($M$1="San Rafael",L58,IF($M$1="Rama Caída",L76,IF($M$1="Malargue",L94,IF($M$1="Bardas Blancas",L113,IF($M$1="La Consulta",L131,IF($M$1="San Carlos",L149,IF($M$1="General Alvear",L166,IF($M$1="Dagoberto Sardina",L184,0))))))))</f>
        <v>298.38626836176149</v>
      </c>
      <c r="U13" s="78">
        <f t="shared" ref="U13:U16" si="25">IF($M$1="San Rafael",M58,IF($M$1="Rama Caída",M76,IF($M$1="Malargue",M94,IF($M$1="Bardas Blancas",M113,IF($M$1="La Consulta",M131,IF($M$1="San Carlos",M149,IF($M$1="General Alvear",M166,IF($M$1="Dagoberto Sardina",M184,0))))))))</f>
        <v>0</v>
      </c>
    </row>
    <row r="14" spans="9:22">
      <c r="I14" s="1" t="s">
        <v>166</v>
      </c>
      <c r="J14" s="78">
        <f t="shared" si="14"/>
        <v>0</v>
      </c>
      <c r="K14" s="78">
        <f t="shared" si="15"/>
        <v>942.11795551598811</v>
      </c>
      <c r="L14" s="78">
        <f t="shared" si="16"/>
        <v>498.45181550923769</v>
      </c>
      <c r="M14" s="78">
        <f t="shared" si="17"/>
        <v>141.85576692608336</v>
      </c>
      <c r="N14" s="78">
        <f t="shared" si="18"/>
        <v>66.52546311016323</v>
      </c>
      <c r="O14" s="78">
        <f t="shared" si="19"/>
        <v>43.535045711797999</v>
      </c>
      <c r="P14" s="78">
        <f t="shared" si="20"/>
        <v>48.426623881662941</v>
      </c>
      <c r="Q14" s="78">
        <f t="shared" si="21"/>
        <v>62.123042757284779</v>
      </c>
      <c r="R14" s="78">
        <f t="shared" si="22"/>
        <v>90.00503832551496</v>
      </c>
      <c r="S14" s="78">
        <f t="shared" si="23"/>
        <v>173.65102503020549</v>
      </c>
      <c r="T14" s="78">
        <f t="shared" si="24"/>
        <v>296.42963709381553</v>
      </c>
      <c r="U14" s="78">
        <f t="shared" si="25"/>
        <v>0</v>
      </c>
    </row>
    <row r="15" spans="9:22">
      <c r="I15" s="1" t="s">
        <v>167</v>
      </c>
      <c r="J15" s="78">
        <f t="shared" si="14"/>
        <v>0</v>
      </c>
      <c r="K15" s="78">
        <f t="shared" si="15"/>
        <v>770.42356175372856</v>
      </c>
      <c r="L15" s="78">
        <f t="shared" si="16"/>
        <v>415.78414443852017</v>
      </c>
      <c r="M15" s="78">
        <f t="shared" si="17"/>
        <v>120.8219807956641</v>
      </c>
      <c r="N15" s="78">
        <f t="shared" si="18"/>
        <v>57.231464587419836</v>
      </c>
      <c r="O15" s="78">
        <f t="shared" si="19"/>
        <v>37.665151907960066</v>
      </c>
      <c r="P15" s="78">
        <f t="shared" si="20"/>
        <v>41.578414443852019</v>
      </c>
      <c r="Q15" s="78">
        <f t="shared" si="21"/>
        <v>53.318202051527884</v>
      </c>
      <c r="R15" s="78">
        <f t="shared" si="22"/>
        <v>75.819461632906624</v>
      </c>
      <c r="S15" s="78">
        <f t="shared" si="23"/>
        <v>142.83408256005634</v>
      </c>
      <c r="T15" s="78">
        <f t="shared" si="24"/>
        <v>241.64396159132821</v>
      </c>
      <c r="U15" s="78">
        <f t="shared" si="25"/>
        <v>0</v>
      </c>
    </row>
    <row r="16" spans="9:22">
      <c r="I16" s="1" t="s">
        <v>168</v>
      </c>
      <c r="J16" s="78">
        <f t="shared" si="14"/>
        <v>0</v>
      </c>
      <c r="K16" s="78">
        <f t="shared" si="15"/>
        <v>781.67419154441791</v>
      </c>
      <c r="L16" s="78">
        <f t="shared" si="16"/>
        <v>422.14319605934463</v>
      </c>
      <c r="M16" s="78">
        <f t="shared" si="17"/>
        <v>122.77861206361007</v>
      </c>
      <c r="N16" s="78">
        <f t="shared" si="18"/>
        <v>58.209780221392819</v>
      </c>
      <c r="O16" s="78">
        <f t="shared" si="19"/>
        <v>38.154309724946557</v>
      </c>
      <c r="P16" s="78">
        <f t="shared" si="20"/>
        <v>42.556730077825009</v>
      </c>
      <c r="Q16" s="78">
        <f t="shared" si="21"/>
        <v>54.296517685500874</v>
      </c>
      <c r="R16" s="78">
        <f t="shared" si="22"/>
        <v>76.797777266879606</v>
      </c>
      <c r="S16" s="78">
        <f t="shared" si="23"/>
        <v>144.79071382800231</v>
      </c>
      <c r="T16" s="78">
        <f t="shared" si="24"/>
        <v>245.06806631023366</v>
      </c>
      <c r="U16" s="78">
        <f t="shared" si="25"/>
        <v>0</v>
      </c>
    </row>
    <row r="20" spans="1:22">
      <c r="A20" t="s">
        <v>170</v>
      </c>
      <c r="B20">
        <f>+'Balance calefacción'!M42*5.67</f>
        <v>69.130457648437485</v>
      </c>
      <c r="J20" s="1" t="s">
        <v>171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>
      <c r="B22" s="1" t="s">
        <v>172</v>
      </c>
      <c r="C22" s="1" t="s">
        <v>173</v>
      </c>
      <c r="D22" s="1" t="s">
        <v>174</v>
      </c>
      <c r="E22" s="1" t="s">
        <v>175</v>
      </c>
      <c r="F22" s="1" t="s">
        <v>176</v>
      </c>
      <c r="G22" s="1" t="s">
        <v>177</v>
      </c>
    </row>
    <row r="23" spans="1:2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9">
        <f>IF(+(1-$B23*EXP((-$C23*(J$14-$E23*$D23)/$B$20)))&lt;0,0,+(1-$B23*EXP((-$C23*(J$14-$E23*$D23)/$B$20))))</f>
        <v>0</v>
      </c>
      <c r="K23" s="79">
        <f t="shared" ref="K23:U24" si="26">IF(+(1-$B23*EXP((-$C23*(K$14-$E23*$D23)/$B$20)))&lt;0,0,+(1-$B23*EXP((-$C23*(K$14-$E23*$D23)/$B$20))))</f>
        <v>0.99799022031629392</v>
      </c>
      <c r="L23" s="79">
        <f t="shared" si="26"/>
        <v>0.95851607235199154</v>
      </c>
      <c r="M23" s="79">
        <f t="shared" si="26"/>
        <v>0.52729147768089879</v>
      </c>
      <c r="N23" s="79">
        <f t="shared" si="26"/>
        <v>0.2096447169986162</v>
      </c>
      <c r="O23" s="79">
        <f t="shared" si="26"/>
        <v>7.5406853458139689E-2</v>
      </c>
      <c r="P23" s="79">
        <f t="shared" si="26"/>
        <v>0.10575754413029825</v>
      </c>
      <c r="Q23" s="79">
        <f t="shared" si="26"/>
        <v>0.18554291223040109</v>
      </c>
      <c r="R23" s="79">
        <f t="shared" si="26"/>
        <v>0.32664434345986748</v>
      </c>
      <c r="S23" s="79">
        <f t="shared" si="26"/>
        <v>0.61948355570820257</v>
      </c>
      <c r="T23" s="79">
        <f t="shared" si="26"/>
        <v>0.83535851779618298</v>
      </c>
      <c r="U23" s="79">
        <f t="shared" si="26"/>
        <v>0</v>
      </c>
      <c r="V23" s="79">
        <f t="shared" ref="V23:V42" si="27">+(J23*J$4+K23*K$4+L23*L$4+M23*M$4+N23*N$4+O23*O$4+P23*P$4+Q23*Q$4+R23*R$4+S23*S$4+T23*T$4+U23*U$4)/V$4</f>
        <v>0.24323509295457896</v>
      </c>
    </row>
    <row r="24" spans="1:22">
      <c r="A24" s="1" t="s">
        <v>109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9">
        <f t="shared" ref="J24:U41" si="28">IF(+(1-$B24*EXP((-$C24*(J$14-$E24*$D24)/$B$20)))&lt;0,0,+(1-$B24*EXP((-$C24*(J$14-$E24*$D24)/$B$20))))</f>
        <v>0</v>
      </c>
      <c r="K24" s="79">
        <f t="shared" si="26"/>
        <v>0.99999964317037782</v>
      </c>
      <c r="L24" s="79">
        <f t="shared" si="26"/>
        <v>0.99957111742995097</v>
      </c>
      <c r="M24" s="79">
        <f t="shared" si="26"/>
        <v>0.8718302049262121</v>
      </c>
      <c r="N24" s="79">
        <f t="shared" si="26"/>
        <v>0.57271299387963115</v>
      </c>
      <c r="O24" s="79">
        <f t="shared" si="26"/>
        <v>0.38295558594654033</v>
      </c>
      <c r="P24" s="79">
        <f t="shared" si="26"/>
        <v>0.42936333596622345</v>
      </c>
      <c r="Q24" s="79">
        <f t="shared" si="26"/>
        <v>0.54156183686588444</v>
      </c>
      <c r="R24" s="79">
        <f t="shared" si="26"/>
        <v>0.70641945546905727</v>
      </c>
      <c r="S24" s="79">
        <f t="shared" si="26"/>
        <v>0.92289779551090123</v>
      </c>
      <c r="T24" s="79">
        <f t="shared" si="26"/>
        <v>0.98916691139405299</v>
      </c>
      <c r="U24" s="79">
        <f t="shared" si="26"/>
        <v>0</v>
      </c>
      <c r="V24" s="79">
        <f t="shared" si="27"/>
        <v>0.56959306965948231</v>
      </c>
    </row>
    <row r="25" spans="1:22">
      <c r="A25" s="1" t="s">
        <v>110</v>
      </c>
      <c r="B25" s="80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9">
        <f t="shared" si="28"/>
        <v>0</v>
      </c>
      <c r="K25" s="79">
        <f t="shared" si="28"/>
        <v>0.99999945457729755</v>
      </c>
      <c r="L25" s="79">
        <f t="shared" si="28"/>
        <v>0.99945994663076709</v>
      </c>
      <c r="M25" s="79">
        <f t="shared" si="28"/>
        <v>0.86188869958054237</v>
      </c>
      <c r="N25" s="79">
        <f t="shared" si="28"/>
        <v>0.55447584123630134</v>
      </c>
      <c r="O25" s="79">
        <f t="shared" si="28"/>
        <v>0.36304878778092531</v>
      </c>
      <c r="P25" s="79">
        <f t="shared" si="28"/>
        <v>0.40969363736610398</v>
      </c>
      <c r="Q25" s="79">
        <f t="shared" si="28"/>
        <v>0.52291353845603794</v>
      </c>
      <c r="R25" s="79">
        <f t="shared" si="28"/>
        <v>0.69073307318464083</v>
      </c>
      <c r="S25" s="79">
        <f t="shared" si="28"/>
        <v>0.91575529044759252</v>
      </c>
      <c r="T25" s="79">
        <f t="shared" si="28"/>
        <v>0.98751115825350289</v>
      </c>
      <c r="U25" s="79">
        <f t="shared" si="28"/>
        <v>0</v>
      </c>
      <c r="V25" s="79">
        <f t="shared" si="27"/>
        <v>0.55287102012605016</v>
      </c>
    </row>
    <row r="26" spans="1:22">
      <c r="A26" s="1" t="s">
        <v>111</v>
      </c>
      <c r="B26" s="80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9">
        <f t="shared" si="28"/>
        <v>0</v>
      </c>
      <c r="K26" s="79">
        <f t="shared" si="28"/>
        <v>0.99999997722273415</v>
      </c>
      <c r="L26" s="79">
        <f t="shared" si="28"/>
        <v>0.99990099454022685</v>
      </c>
      <c r="M26" s="79">
        <f t="shared" si="28"/>
        <v>0.9168574645517672</v>
      </c>
      <c r="N26" s="79">
        <f t="shared" si="28"/>
        <v>0.6552153516499315</v>
      </c>
      <c r="O26" s="79">
        <f t="shared" si="28"/>
        <v>0.46780072744406587</v>
      </c>
      <c r="P26" s="79">
        <f t="shared" si="28"/>
        <v>0.51475364038981919</v>
      </c>
      <c r="Q26" s="79">
        <f t="shared" si="28"/>
        <v>0.62533017966010629</v>
      </c>
      <c r="R26" s="79">
        <f t="shared" si="28"/>
        <v>0.77868524698839781</v>
      </c>
      <c r="S26" s="79">
        <f t="shared" si="28"/>
        <v>0.95438629757723303</v>
      </c>
      <c r="T26" s="79">
        <f t="shared" si="28"/>
        <v>0.99550960692635548</v>
      </c>
      <c r="U26" s="79">
        <f t="shared" si="28"/>
        <v>0</v>
      </c>
      <c r="V26" s="79">
        <f t="shared" si="27"/>
        <v>0.64340666910350841</v>
      </c>
    </row>
    <row r="27" spans="1:22">
      <c r="A27" s="1" t="s">
        <v>124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9">
        <f t="shared" si="28"/>
        <v>0</v>
      </c>
      <c r="K27" s="79">
        <f t="shared" si="28"/>
        <v>0.99541987892283457</v>
      </c>
      <c r="L27" s="79">
        <f t="shared" si="28"/>
        <v>0.938934104460591</v>
      </c>
      <c r="M27" s="79">
        <f t="shared" si="28"/>
        <v>0.51027412142267625</v>
      </c>
      <c r="N27" s="79">
        <f t="shared" si="28"/>
        <v>0.23975406868760729</v>
      </c>
      <c r="O27" s="79">
        <f t="shared" si="28"/>
        <v>0.13054595367481148</v>
      </c>
      <c r="P27" s="79">
        <f t="shared" si="28"/>
        <v>0.1550247907663459</v>
      </c>
      <c r="Q27" s="79">
        <f t="shared" si="28"/>
        <v>0.21996066458076058</v>
      </c>
      <c r="R27" s="79">
        <f t="shared" si="28"/>
        <v>0.33714076757183398</v>
      </c>
      <c r="S27" s="79">
        <f t="shared" si="28"/>
        <v>0.59324235192540531</v>
      </c>
      <c r="T27" s="79">
        <f t="shared" si="28"/>
        <v>0.80137732777112458</v>
      </c>
      <c r="U27" s="79">
        <f t="shared" si="28"/>
        <v>0</v>
      </c>
      <c r="V27" s="79">
        <f t="shared" si="27"/>
        <v>0.27256440747557814</v>
      </c>
    </row>
    <row r="28" spans="1:22">
      <c r="A28" s="1" t="s">
        <v>112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9">
        <f t="shared" si="28"/>
        <v>0</v>
      </c>
      <c r="K28" s="79">
        <f t="shared" si="28"/>
        <v>0.99990337377141336</v>
      </c>
      <c r="L28" s="79">
        <f t="shared" si="28"/>
        <v>0.99197630623544197</v>
      </c>
      <c r="M28" s="79">
        <f t="shared" si="28"/>
        <v>0.72010673391286373</v>
      </c>
      <c r="N28" s="79">
        <f t="shared" si="28"/>
        <v>0.40725502685965975</v>
      </c>
      <c r="O28" s="79">
        <f t="shared" si="28"/>
        <v>0.25471330562896655</v>
      </c>
      <c r="P28" s="79">
        <f t="shared" si="28"/>
        <v>0.29015647423015523</v>
      </c>
      <c r="Q28" s="79">
        <f t="shared" si="28"/>
        <v>0.38068364720010661</v>
      </c>
      <c r="R28" s="79">
        <f t="shared" si="28"/>
        <v>0.53086663952940394</v>
      </c>
      <c r="S28" s="79">
        <f t="shared" si="28"/>
        <v>0.79608572678908751</v>
      </c>
      <c r="T28" s="79">
        <f t="shared" si="28"/>
        <v>0.93997764971704412</v>
      </c>
      <c r="U28" s="79">
        <f t="shared" si="28"/>
        <v>0</v>
      </c>
      <c r="V28" s="79">
        <f t="shared" si="27"/>
        <v>0.42655989831729135</v>
      </c>
    </row>
    <row r="29" spans="1:22">
      <c r="A29" s="1" t="s">
        <v>125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9">
        <f t="shared" si="28"/>
        <v>0</v>
      </c>
      <c r="K29" s="79">
        <f t="shared" si="28"/>
        <v>0.99983948538071177</v>
      </c>
      <c r="L29" s="79">
        <f t="shared" si="28"/>
        <v>0.98958247186732284</v>
      </c>
      <c r="M29" s="79">
        <f t="shared" si="28"/>
        <v>0.70190259644768371</v>
      </c>
      <c r="N29" s="79">
        <f t="shared" si="28"/>
        <v>0.39457398993434645</v>
      </c>
      <c r="O29" s="79">
        <f t="shared" si="28"/>
        <v>0.24842833909132445</v>
      </c>
      <c r="P29" s="79">
        <f t="shared" si="28"/>
        <v>0.28222274964622673</v>
      </c>
      <c r="Q29" s="79">
        <f t="shared" si="28"/>
        <v>0.36897914761897421</v>
      </c>
      <c r="R29" s="79">
        <f t="shared" si="28"/>
        <v>0.5145397409435859</v>
      </c>
      <c r="S29" s="79">
        <f t="shared" si="28"/>
        <v>0.77895352157074693</v>
      </c>
      <c r="T29" s="79">
        <f t="shared" si="28"/>
        <v>0.9303425030415422</v>
      </c>
      <c r="U29" s="79">
        <f t="shared" si="28"/>
        <v>0</v>
      </c>
      <c r="V29" s="79">
        <f t="shared" si="27"/>
        <v>0.41572395111394272</v>
      </c>
    </row>
    <row r="30" spans="1:22">
      <c r="A30" s="1" t="s">
        <v>113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9">
        <f t="shared" si="28"/>
        <v>0</v>
      </c>
      <c r="K30" s="79">
        <f t="shared" si="28"/>
        <v>0.99999423152317568</v>
      </c>
      <c r="L30" s="79">
        <f t="shared" si="28"/>
        <v>0.99819623478592912</v>
      </c>
      <c r="M30" s="79">
        <f t="shared" si="28"/>
        <v>0.81734635290367563</v>
      </c>
      <c r="N30" s="79">
        <f t="shared" si="28"/>
        <v>0.51551997971123453</v>
      </c>
      <c r="O30" s="79">
        <f t="shared" si="28"/>
        <v>0.34751445474934561</v>
      </c>
      <c r="P30" s="79">
        <f t="shared" si="28"/>
        <v>0.38756314786509993</v>
      </c>
      <c r="Q30" s="79">
        <f t="shared" si="28"/>
        <v>0.48709788117059305</v>
      </c>
      <c r="R30" s="79">
        <f t="shared" si="28"/>
        <v>0.64253799222064933</v>
      </c>
      <c r="S30" s="79">
        <f t="shared" si="28"/>
        <v>0.87899144304017196</v>
      </c>
      <c r="T30" s="79">
        <f t="shared" si="28"/>
        <v>0.97532110910107772</v>
      </c>
      <c r="U30" s="79">
        <f t="shared" si="28"/>
        <v>0</v>
      </c>
      <c r="V30" s="79">
        <f t="shared" si="27"/>
        <v>0.52308122019712011</v>
      </c>
    </row>
    <row r="31" spans="1:22">
      <c r="A31" s="1" t="s">
        <v>126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9">
        <f t="shared" si="28"/>
        <v>0</v>
      </c>
      <c r="K31" s="79">
        <f t="shared" si="28"/>
        <v>0.99935099985392284</v>
      </c>
      <c r="L31" s="79">
        <f t="shared" si="28"/>
        <v>0.97839152787306582</v>
      </c>
      <c r="M31" s="79">
        <f t="shared" si="28"/>
        <v>0.63839510822323586</v>
      </c>
      <c r="N31" s="79">
        <f t="shared" si="28"/>
        <v>0.34427783915541621</v>
      </c>
      <c r="O31" s="79">
        <f t="shared" si="28"/>
        <v>0.21366372139759726</v>
      </c>
      <c r="P31" s="79">
        <f t="shared" si="28"/>
        <v>0.24347456152139957</v>
      </c>
      <c r="Q31" s="79">
        <f t="shared" si="28"/>
        <v>0.3210681846336878</v>
      </c>
      <c r="R31" s="79">
        <f t="shared" si="28"/>
        <v>0.45530557254986659</v>
      </c>
      <c r="S31" s="79">
        <f t="shared" si="28"/>
        <v>0.71872363104394932</v>
      </c>
      <c r="T31" s="79">
        <f t="shared" si="28"/>
        <v>0.89338081790282375</v>
      </c>
      <c r="U31" s="79">
        <f t="shared" si="28"/>
        <v>0</v>
      </c>
      <c r="V31" s="79">
        <f t="shared" si="27"/>
        <v>0.37051766973571376</v>
      </c>
    </row>
    <row r="32" spans="1:22">
      <c r="A32" s="1" t="s">
        <v>114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9">
        <f t="shared" si="28"/>
        <v>0</v>
      </c>
      <c r="K32" s="79">
        <f t="shared" si="28"/>
        <v>0.99104896055017455</v>
      </c>
      <c r="L32" s="79">
        <f t="shared" si="28"/>
        <v>0.91419113395683205</v>
      </c>
      <c r="M32" s="79">
        <f t="shared" si="28"/>
        <v>0.4721154110939294</v>
      </c>
      <c r="N32" s="79">
        <f t="shared" si="28"/>
        <v>0.22515413221334324</v>
      </c>
      <c r="O32" s="79">
        <f t="shared" si="28"/>
        <v>0.12886778642737473</v>
      </c>
      <c r="P32" s="79">
        <f t="shared" si="28"/>
        <v>0.15030916282114848</v>
      </c>
      <c r="Q32" s="79">
        <f t="shared" si="28"/>
        <v>0.20757868987019945</v>
      </c>
      <c r="R32" s="79">
        <f t="shared" si="28"/>
        <v>0.31251337259391554</v>
      </c>
      <c r="S32" s="79">
        <f t="shared" si="28"/>
        <v>0.55105971183868308</v>
      </c>
      <c r="T32" s="79">
        <f t="shared" si="28"/>
        <v>0.75982500163380462</v>
      </c>
      <c r="U32" s="79">
        <f t="shared" si="28"/>
        <v>0</v>
      </c>
      <c r="V32" s="79">
        <f t="shared" si="27"/>
        <v>0.2583530392258111</v>
      </c>
    </row>
    <row r="33" spans="1:25">
      <c r="A33" s="1" t="s">
        <v>620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9">
        <f>IF(+(1-$B33*EXP((-$C33*(J$14-$E33*$D33)/$B$20)))&lt;0,0,+(1-$B33*EXP((-$C33*(J$14-$E33*$D33)/$B$20))))</f>
        <v>0</v>
      </c>
      <c r="K33" s="79">
        <f t="shared" si="28"/>
        <v>0.9972272151445557</v>
      </c>
      <c r="L33" s="79">
        <f t="shared" si="28"/>
        <v>0.95324261903426744</v>
      </c>
      <c r="M33" s="79">
        <f t="shared" si="28"/>
        <v>0.54710587043334202</v>
      </c>
      <c r="N33" s="79">
        <f t="shared" si="28"/>
        <v>0.26832460341836961</v>
      </c>
      <c r="O33" s="79">
        <f t="shared" si="28"/>
        <v>0.15297316292493035</v>
      </c>
      <c r="P33" s="79">
        <f t="shared" si="28"/>
        <v>0.17894966308289817</v>
      </c>
      <c r="Q33" s="79">
        <f t="shared" si="28"/>
        <v>0.24752322522064241</v>
      </c>
      <c r="R33" s="79">
        <f t="shared" si="28"/>
        <v>0.3699326227691131</v>
      </c>
      <c r="S33" s="79">
        <f t="shared" si="28"/>
        <v>0.63011333407261727</v>
      </c>
      <c r="T33" s="79">
        <f t="shared" si="28"/>
        <v>0.83074899302627681</v>
      </c>
      <c r="U33" s="79">
        <f t="shared" si="28"/>
        <v>0</v>
      </c>
      <c r="V33" s="79">
        <f t="shared" si="27"/>
        <v>0.29967643703653846</v>
      </c>
    </row>
    <row r="34" spans="1:25">
      <c r="A34" s="1" t="s">
        <v>621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9">
        <f>IF(+(1-$B34*EXP((-$C34*(J$14-$E34*$D34)/$B$20)))&lt;0,0,+(1-$B34*EXP((-$C34*(J$14-$E34*$D34)/$B$20))))</f>
        <v>0</v>
      </c>
      <c r="K34" s="79">
        <f>IF(+(1-$B34*EXP((-$C34*(K$14-$E34*$D34)/$B$20)))&lt;0,0,+(1-$B34*EXP((-$C34*(K$14-$E34*$D34)/$B$20))))</f>
        <v>0.99989635324630688</v>
      </c>
      <c r="L34" s="79">
        <f>IF(+(1-$B34*EXP((-$C34*(L$14-$E34*$D34)/$B$20)))&lt;0,0,+(1-$B34*EXP((-$C34*(L$14-$E34*$D34)/$B$20))))</f>
        <v>0.99177142780398009</v>
      </c>
      <c r="M34" s="79">
        <f>IF(+(1-$B34*EXP((-$C34*(M$14-$E34*$D34)/$B$20)))&lt;0,0,+(1-$B34*EXP((-$C34*(M$14-$E34*$D34)/$B$20))))</f>
        <v>0.7231394849833086</v>
      </c>
      <c r="N34" s="79">
        <f t="shared" si="28"/>
        <v>0.41813297229589153</v>
      </c>
      <c r="O34" s="79">
        <f t="shared" si="28"/>
        <v>0.27009184450687651</v>
      </c>
      <c r="P34" s="79">
        <f t="shared" si="28"/>
        <v>0.30445924142996994</v>
      </c>
      <c r="Q34" s="79">
        <f t="shared" si="28"/>
        <v>0.39232017726054857</v>
      </c>
      <c r="R34" s="79">
        <f t="shared" si="28"/>
        <v>0.53837989371399209</v>
      </c>
      <c r="S34" s="79">
        <f t="shared" si="28"/>
        <v>0.79764477745374562</v>
      </c>
      <c r="T34" s="79">
        <f t="shared" si="28"/>
        <v>0.93969142510807613</v>
      </c>
      <c r="U34" s="79">
        <f t="shared" si="28"/>
        <v>0</v>
      </c>
      <c r="V34" s="79">
        <f t="shared" si="27"/>
        <v>0.4373142936795697</v>
      </c>
    </row>
    <row r="35" spans="1:25">
      <c r="A35" s="1" t="s">
        <v>115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9">
        <f t="shared" si="28"/>
        <v>0</v>
      </c>
      <c r="K35" s="79">
        <f t="shared" si="28"/>
        <v>0.99937848259257722</v>
      </c>
      <c r="L35" s="79">
        <f t="shared" si="28"/>
        <v>0.97854932358891766</v>
      </c>
      <c r="M35" s="79">
        <f t="shared" si="28"/>
        <v>0.6305152812394339</v>
      </c>
      <c r="N35" s="79">
        <f t="shared" si="28"/>
        <v>0.325887765739024</v>
      </c>
      <c r="O35" s="79">
        <f t="shared" si="28"/>
        <v>0.19010358490702672</v>
      </c>
      <c r="P35" s="79">
        <f t="shared" si="28"/>
        <v>0.22111630735090082</v>
      </c>
      <c r="Q35" s="79">
        <f t="shared" si="28"/>
        <v>0.30177822624916184</v>
      </c>
      <c r="R35" s="79">
        <f t="shared" si="28"/>
        <v>0.44109337826497208</v>
      </c>
      <c r="S35" s="79">
        <f t="shared" si="28"/>
        <v>0.7133335580121638</v>
      </c>
      <c r="T35" s="79">
        <f t="shared" si="28"/>
        <v>0.8924130653580965</v>
      </c>
      <c r="U35" s="79">
        <f t="shared" si="28"/>
        <v>0</v>
      </c>
      <c r="V35" s="79">
        <f t="shared" si="27"/>
        <v>0.35276205124668308</v>
      </c>
    </row>
    <row r="36" spans="1:25">
      <c r="A36" s="1" t="s">
        <v>116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9">
        <f t="shared" si="28"/>
        <v>0</v>
      </c>
      <c r="K36" s="79">
        <f t="shared" si="28"/>
        <v>0.99999324454907323</v>
      </c>
      <c r="L36" s="79">
        <f t="shared" si="28"/>
        <v>0.99801892460498187</v>
      </c>
      <c r="M36" s="79">
        <f t="shared" si="28"/>
        <v>0.80947713342569938</v>
      </c>
      <c r="N36" s="79">
        <f t="shared" si="28"/>
        <v>0.50012410328491164</v>
      </c>
      <c r="O36" s="79">
        <f t="shared" si="28"/>
        <v>0.329014855304405</v>
      </c>
      <c r="P36" s="79">
        <f t="shared" si="28"/>
        <v>0.36975323278298344</v>
      </c>
      <c r="Q36" s="79">
        <f t="shared" si="28"/>
        <v>0.47113570596625443</v>
      </c>
      <c r="R36" s="79">
        <f t="shared" si="28"/>
        <v>0.62992371194575103</v>
      </c>
      <c r="S36" s="79">
        <f t="shared" si="28"/>
        <v>0.87319619169908491</v>
      </c>
      <c r="T36" s="79">
        <f t="shared" si="28"/>
        <v>0.97367580456589997</v>
      </c>
      <c r="U36" s="79">
        <f t="shared" si="28"/>
        <v>0</v>
      </c>
      <c r="V36" s="79">
        <f t="shared" si="27"/>
        <v>0.50843820172956966</v>
      </c>
    </row>
    <row r="37" spans="1:25">
      <c r="A37" s="1" t="s">
        <v>117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9">
        <f t="shared" si="28"/>
        <v>0</v>
      </c>
      <c r="K37" s="79">
        <f t="shared" si="28"/>
        <v>0.99999870652781442</v>
      </c>
      <c r="L37" s="79">
        <f t="shared" si="28"/>
        <v>0.99916203600742093</v>
      </c>
      <c r="M37" s="79">
        <f t="shared" si="28"/>
        <v>0.84761609482499323</v>
      </c>
      <c r="N37" s="79">
        <f t="shared" si="28"/>
        <v>0.54259621673330094</v>
      </c>
      <c r="O37" s="79">
        <f t="shared" si="28"/>
        <v>0.36028321789629358</v>
      </c>
      <c r="P37" s="79">
        <f t="shared" si="28"/>
        <v>0.40435116188438869</v>
      </c>
      <c r="Q37" s="79">
        <f t="shared" si="28"/>
        <v>0.51224980361642602</v>
      </c>
      <c r="R37" s="79">
        <f t="shared" si="28"/>
        <v>0.6752777733429306</v>
      </c>
      <c r="S37" s="79">
        <f t="shared" si="28"/>
        <v>0.90418010149151473</v>
      </c>
      <c r="T37" s="79">
        <f t="shared" si="28"/>
        <v>0.98402577355389398</v>
      </c>
      <c r="U37" s="79">
        <f t="shared" si="28"/>
        <v>0</v>
      </c>
      <c r="V37" s="79">
        <f t="shared" si="27"/>
        <v>0.54438628947196066</v>
      </c>
    </row>
    <row r="38" spans="1:25">
      <c r="A38" s="1" t="s">
        <v>178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9">
        <f t="shared" si="28"/>
        <v>0</v>
      </c>
      <c r="K38" s="79">
        <f t="shared" si="28"/>
        <v>0.99999987869856899</v>
      </c>
      <c r="L38" s="79">
        <f t="shared" si="28"/>
        <v>0.99976239760108887</v>
      </c>
      <c r="M38" s="79">
        <f t="shared" si="28"/>
        <v>0.89485729518589108</v>
      </c>
      <c r="N38" s="79">
        <f t="shared" si="28"/>
        <v>0.61917367072901608</v>
      </c>
      <c r="O38" s="79">
        <f t="shared" si="28"/>
        <v>0.43595346173013239</v>
      </c>
      <c r="P38" s="79">
        <f t="shared" si="28"/>
        <v>0.48117651678774931</v>
      </c>
      <c r="Q38" s="79">
        <f t="shared" si="28"/>
        <v>0.58942476660057097</v>
      </c>
      <c r="R38" s="79">
        <f t="shared" si="28"/>
        <v>0.74501803489022078</v>
      </c>
      <c r="S38" s="79">
        <f t="shared" si="28"/>
        <v>0.93892554361594105</v>
      </c>
      <c r="T38" s="79">
        <f t="shared" si="28"/>
        <v>0.99250369494244262</v>
      </c>
      <c r="U38" s="79">
        <f t="shared" si="28"/>
        <v>0</v>
      </c>
      <c r="V38" s="79">
        <f t="shared" si="27"/>
        <v>0.61264723837735191</v>
      </c>
    </row>
    <row r="39" spans="1:25">
      <c r="A39" s="1" t="s">
        <v>119</v>
      </c>
      <c r="B39" s="81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9">
        <f t="shared" si="28"/>
        <v>0</v>
      </c>
      <c r="K39" s="79">
        <f t="shared" si="28"/>
        <v>0.99818035373722636</v>
      </c>
      <c r="L39" s="79">
        <f t="shared" si="28"/>
        <v>0.96320411236576708</v>
      </c>
      <c r="M39" s="79">
        <f t="shared" si="28"/>
        <v>0.58757580839397339</v>
      </c>
      <c r="N39" s="79">
        <f t="shared" si="28"/>
        <v>0.31283871794299289</v>
      </c>
      <c r="O39" s="79">
        <f t="shared" si="28"/>
        <v>0.19698286952041943</v>
      </c>
      <c r="P39" s="79">
        <f t="shared" si="28"/>
        <v>0.22316682977822089</v>
      </c>
      <c r="Q39" s="79">
        <f t="shared" si="28"/>
        <v>0.29202809254570028</v>
      </c>
      <c r="R39" s="79">
        <f t="shared" si="28"/>
        <v>0.41392547034893679</v>
      </c>
      <c r="S39" s="79">
        <f t="shared" si="28"/>
        <v>0.66752169219947144</v>
      </c>
      <c r="T39" s="79">
        <f t="shared" si="28"/>
        <v>0.85532369983932655</v>
      </c>
      <c r="U39" s="79">
        <f t="shared" si="28"/>
        <v>0</v>
      </c>
      <c r="V39" s="79">
        <f t="shared" si="27"/>
        <v>0.3419015195975153</v>
      </c>
    </row>
    <row r="40" spans="1:25">
      <c r="A40" s="1" t="s">
        <v>120</v>
      </c>
      <c r="B40" s="81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9">
        <f t="shared" si="28"/>
        <v>0</v>
      </c>
      <c r="K40" s="79">
        <f t="shared" si="28"/>
        <v>0.98949967011061624</v>
      </c>
      <c r="L40" s="79">
        <f t="shared" si="28"/>
        <v>0.90910398452534125</v>
      </c>
      <c r="M40" s="79">
        <f t="shared" si="28"/>
        <v>0.48485189326122213</v>
      </c>
      <c r="N40" s="79">
        <f t="shared" si="28"/>
        <v>0.25683734881895603</v>
      </c>
      <c r="O40" s="79">
        <f t="shared" si="28"/>
        <v>0.16889447770138166</v>
      </c>
      <c r="P40" s="79">
        <f t="shared" si="28"/>
        <v>0.18843812349966638</v>
      </c>
      <c r="Q40" s="79">
        <f t="shared" si="28"/>
        <v>0.24074973410011624</v>
      </c>
      <c r="R40" s="79">
        <f t="shared" si="28"/>
        <v>0.33705403792703692</v>
      </c>
      <c r="S40" s="79">
        <f t="shared" si="28"/>
        <v>0.55867588314064442</v>
      </c>
      <c r="T40" s="79">
        <f t="shared" si="28"/>
        <v>0.75713722718605181</v>
      </c>
      <c r="U40" s="79">
        <f t="shared" si="28"/>
        <v>0</v>
      </c>
      <c r="V40" s="79">
        <f t="shared" si="27"/>
        <v>0.28840981982139063</v>
      </c>
    </row>
    <row r="41" spans="1:25">
      <c r="A41" s="1" t="s">
        <v>127</v>
      </c>
      <c r="B41" s="8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9">
        <f t="shared" si="28"/>
        <v>0</v>
      </c>
      <c r="K41" s="79">
        <f t="shared" si="28"/>
        <v>0.99999628511821559</v>
      </c>
      <c r="L41" s="79">
        <f t="shared" si="28"/>
        <v>0.99856529248465475</v>
      </c>
      <c r="M41" s="79">
        <f t="shared" si="28"/>
        <v>0.82784680897196417</v>
      </c>
      <c r="N41" s="79">
        <f t="shared" si="28"/>
        <v>0.52670457163377282</v>
      </c>
      <c r="O41" s="79">
        <f t="shared" si="28"/>
        <v>0.35556498838261941</v>
      </c>
      <c r="P41" s="79">
        <f t="shared" si="28"/>
        <v>0.39652605003187547</v>
      </c>
      <c r="Q41" s="79">
        <f t="shared" si="28"/>
        <v>0.49788771280931632</v>
      </c>
      <c r="R41" s="79">
        <f t="shared" si="28"/>
        <v>0.65467069710279713</v>
      </c>
      <c r="S41" s="79">
        <f t="shared" si="28"/>
        <v>0.88766083787189887</v>
      </c>
      <c r="T41" s="79">
        <f t="shared" si="28"/>
        <v>0.97838953395653749</v>
      </c>
      <c r="U41" s="79">
        <f t="shared" si="28"/>
        <v>0</v>
      </c>
      <c r="V41" s="79">
        <f t="shared" si="27"/>
        <v>0.53255766681615746</v>
      </c>
    </row>
    <row r="42" spans="1:25">
      <c r="A42" s="1" t="s">
        <v>179</v>
      </c>
      <c r="B42" s="81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9">
        <f t="shared" ref="J42:U42" si="29">IF(+(1-$B42*EXP((-$C42*(J$14-$E42*$D42)/$B$20)))&lt;0,0,+(1-$B42*EXP((-$C42*(J$14-$E42*$D42)/$B$20))))</f>
        <v>0</v>
      </c>
      <c r="K42" s="79">
        <f t="shared" si="29"/>
        <v>0.99999489688351351</v>
      </c>
      <c r="L42" s="79">
        <f t="shared" si="29"/>
        <v>0.99829633588638789</v>
      </c>
      <c r="M42" s="79">
        <f t="shared" si="29"/>
        <v>0.81816285699321945</v>
      </c>
      <c r="N42" s="79">
        <f t="shared" si="29"/>
        <v>0.51229500273338902</v>
      </c>
      <c r="O42" s="79">
        <f t="shared" si="29"/>
        <v>0.34093927822707126</v>
      </c>
      <c r="P42" s="79">
        <f t="shared" si="29"/>
        <v>0.38183785923300195</v>
      </c>
      <c r="Q42" s="79">
        <f t="shared" si="29"/>
        <v>0.48334822074292327</v>
      </c>
      <c r="R42" s="79">
        <f t="shared" si="29"/>
        <v>0.64140297772277743</v>
      </c>
      <c r="S42" s="79">
        <f t="shared" si="29"/>
        <v>0.88009620533659305</v>
      </c>
      <c r="T42" s="79">
        <f t="shared" si="29"/>
        <v>0.97598542166985924</v>
      </c>
      <c r="U42" s="79">
        <f t="shared" si="29"/>
        <v>0</v>
      </c>
      <c r="V42" s="79">
        <f t="shared" si="27"/>
        <v>0.51944380243945953</v>
      </c>
    </row>
    <row r="43" spans="1:25">
      <c r="A43" s="1"/>
      <c r="B43" s="81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5">
      <c r="A44" s="1"/>
      <c r="B44" s="81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5">
      <c r="A45" s="1" t="s">
        <v>262</v>
      </c>
      <c r="B45" s="81"/>
      <c r="J45" s="79"/>
      <c r="K45" s="79"/>
      <c r="L45" s="79"/>
      <c r="M45" s="79"/>
      <c r="N45" s="79"/>
      <c r="O45" s="79"/>
      <c r="R45" s="94" t="s">
        <v>263</v>
      </c>
      <c r="S45" s="94"/>
      <c r="T45" s="94"/>
      <c r="U45" s="94"/>
      <c r="V45" s="94"/>
      <c r="W45" s="94"/>
    </row>
    <row r="46" spans="1:25">
      <c r="A46" s="1" t="s">
        <v>627</v>
      </c>
      <c r="O46" s="79"/>
      <c r="R46" s="94"/>
      <c r="S46" s="94"/>
      <c r="T46" s="94"/>
      <c r="U46" s="94"/>
      <c r="V46" s="94"/>
      <c r="W46" s="94"/>
    </row>
    <row r="47" spans="1:25">
      <c r="A47" s="1" t="s">
        <v>160</v>
      </c>
      <c r="O47" s="79"/>
      <c r="R47" s="94" t="s">
        <v>264</v>
      </c>
      <c r="S47" s="94" t="s">
        <v>265</v>
      </c>
      <c r="T47" t="s">
        <v>270</v>
      </c>
      <c r="U47" s="94" t="s">
        <v>266</v>
      </c>
      <c r="V47" s="94" t="s">
        <v>267</v>
      </c>
      <c r="W47" t="s">
        <v>271</v>
      </c>
      <c r="X47" s="94" t="s">
        <v>268</v>
      </c>
      <c r="Y47" s="94" t="s">
        <v>269</v>
      </c>
    </row>
    <row r="48" spans="1:25">
      <c r="A48" s="1" t="s">
        <v>161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9"/>
      <c r="R48" s="79"/>
      <c r="S48" s="79"/>
      <c r="U48" s="79"/>
      <c r="V48" s="79"/>
      <c r="X48" s="79"/>
      <c r="Y48" s="79"/>
    </row>
    <row r="49" spans="1:25">
      <c r="A49" s="1" t="s">
        <v>162</v>
      </c>
      <c r="B49" s="78">
        <v>0</v>
      </c>
      <c r="C49" s="78">
        <v>10</v>
      </c>
      <c r="D49" s="78">
        <v>27</v>
      </c>
      <c r="E49" s="78">
        <v>98</v>
      </c>
      <c r="F49" s="78">
        <v>205</v>
      </c>
      <c r="G49" s="78">
        <v>309</v>
      </c>
      <c r="H49" s="78">
        <v>325</v>
      </c>
      <c r="I49" s="78">
        <v>270</v>
      </c>
      <c r="J49" s="78">
        <v>170</v>
      </c>
      <c r="K49" s="78">
        <v>73</v>
      </c>
      <c r="L49" s="78">
        <v>29</v>
      </c>
      <c r="M49" s="78">
        <v>0</v>
      </c>
      <c r="N49" s="78">
        <v>1516</v>
      </c>
      <c r="O49" s="79"/>
      <c r="P49" t="s">
        <v>627</v>
      </c>
      <c r="R49" s="93">
        <v>39.5</v>
      </c>
      <c r="S49" s="93">
        <v>31.1</v>
      </c>
      <c r="T49">
        <f t="shared" ref="T49:T56" si="30">+(R49+S49)/2</f>
        <v>35.299999999999997</v>
      </c>
      <c r="U49">
        <v>23.4</v>
      </c>
      <c r="V49">
        <v>14.7</v>
      </c>
      <c r="W49">
        <f t="shared" ref="W49:W56" si="31">+(V49+U49)/2</f>
        <v>19.049999999999997</v>
      </c>
      <c r="X49" s="93">
        <v>30.3</v>
      </c>
      <c r="Y49" s="93">
        <v>6</v>
      </c>
    </row>
    <row r="50" spans="1:25">
      <c r="A50" s="1"/>
      <c r="O50" s="79"/>
      <c r="P50" t="s">
        <v>628</v>
      </c>
      <c r="Q50" s="79"/>
      <c r="R50" s="93">
        <v>38.9</v>
      </c>
      <c r="S50" s="93">
        <v>30.8</v>
      </c>
      <c r="T50">
        <f t="shared" si="30"/>
        <v>34.85</v>
      </c>
      <c r="U50">
        <v>23.2</v>
      </c>
      <c r="V50">
        <v>14.4</v>
      </c>
      <c r="W50">
        <f t="shared" si="31"/>
        <v>18.8</v>
      </c>
      <c r="X50" s="93">
        <v>30.1</v>
      </c>
      <c r="Y50" s="93">
        <v>9</v>
      </c>
    </row>
    <row r="51" spans="1:25">
      <c r="A51" s="1" t="s">
        <v>163</v>
      </c>
      <c r="B51" s="1" t="s">
        <v>164</v>
      </c>
      <c r="O51" s="79"/>
      <c r="P51" t="s">
        <v>629</v>
      </c>
      <c r="Q51" s="79"/>
      <c r="R51" s="93">
        <v>34.799999999999997</v>
      </c>
      <c r="S51" s="93">
        <v>28.6</v>
      </c>
      <c r="T51">
        <f t="shared" si="30"/>
        <v>31.7</v>
      </c>
      <c r="U51">
        <v>19.5</v>
      </c>
      <c r="V51">
        <v>10</v>
      </c>
      <c r="W51">
        <f t="shared" si="31"/>
        <v>14.75</v>
      </c>
      <c r="X51" s="78">
        <v>31.6</v>
      </c>
      <c r="Y51" s="93">
        <v>6</v>
      </c>
    </row>
    <row r="52" spans="1:25">
      <c r="A52" s="1" t="s">
        <v>165</v>
      </c>
      <c r="B52" s="78">
        <v>0</v>
      </c>
      <c r="C52" s="78">
        <v>23.11</v>
      </c>
      <c r="D52" s="78">
        <v>10.68</v>
      </c>
      <c r="E52" s="78">
        <v>3.34</v>
      </c>
      <c r="F52" s="78">
        <v>1.49</v>
      </c>
      <c r="G52" s="78">
        <v>0.82</v>
      </c>
      <c r="H52" s="78">
        <v>0.89</v>
      </c>
      <c r="I52" s="78">
        <v>1.23</v>
      </c>
      <c r="J52" s="78">
        <v>1.63</v>
      </c>
      <c r="K52" s="78">
        <v>3.46</v>
      </c>
      <c r="L52" s="78">
        <v>7.73</v>
      </c>
      <c r="M52" s="78">
        <v>0</v>
      </c>
      <c r="O52" s="79"/>
      <c r="P52" t="s">
        <v>630</v>
      </c>
      <c r="Q52" s="79"/>
      <c r="R52" s="93">
        <v>33</v>
      </c>
      <c r="S52" s="93">
        <v>27.5</v>
      </c>
      <c r="T52">
        <f t="shared" si="30"/>
        <v>30.25</v>
      </c>
      <c r="U52">
        <v>18.899999999999999</v>
      </c>
      <c r="V52">
        <v>11.5</v>
      </c>
      <c r="W52">
        <f t="shared" si="31"/>
        <v>15.2</v>
      </c>
      <c r="X52" s="93">
        <v>31.7</v>
      </c>
      <c r="Y52" s="93">
        <v>7</v>
      </c>
    </row>
    <row r="53" spans="1:25">
      <c r="A53" s="1" t="s">
        <v>166</v>
      </c>
      <c r="B53" s="78">
        <v>0</v>
      </c>
      <c r="C53" s="78">
        <v>22.94</v>
      </c>
      <c r="D53" s="78">
        <v>10.6</v>
      </c>
      <c r="E53" s="78">
        <v>3.31</v>
      </c>
      <c r="F53" s="78">
        <v>1.48</v>
      </c>
      <c r="G53" s="78">
        <v>0.82</v>
      </c>
      <c r="H53" s="78">
        <v>0.88</v>
      </c>
      <c r="I53" s="78">
        <v>1.22</v>
      </c>
      <c r="J53" s="78">
        <v>1.61</v>
      </c>
      <c r="K53" s="78">
        <v>3.44</v>
      </c>
      <c r="L53" s="78">
        <v>7.67</v>
      </c>
      <c r="M53" s="78">
        <v>0</v>
      </c>
      <c r="O53" s="79"/>
      <c r="P53" t="s">
        <v>631</v>
      </c>
      <c r="Q53" s="79"/>
      <c r="R53" s="93">
        <v>36</v>
      </c>
      <c r="S53" s="93">
        <v>29.5</v>
      </c>
      <c r="T53">
        <f t="shared" si="30"/>
        <v>32.75</v>
      </c>
      <c r="U53">
        <v>22.1</v>
      </c>
      <c r="V53">
        <v>14</v>
      </c>
      <c r="W53">
        <f t="shared" si="31"/>
        <v>18.05</v>
      </c>
      <c r="X53" s="78">
        <v>30.7</v>
      </c>
      <c r="Y53" s="93">
        <v>7</v>
      </c>
    </row>
    <row r="54" spans="1:25">
      <c r="A54" s="1" t="s">
        <v>167</v>
      </c>
      <c r="B54" s="78">
        <v>0</v>
      </c>
      <c r="C54" s="78">
        <v>18.75</v>
      </c>
      <c r="D54" s="78">
        <v>8.84</v>
      </c>
      <c r="E54" s="78">
        <v>2.82</v>
      </c>
      <c r="F54" s="78">
        <v>1.27</v>
      </c>
      <c r="G54" s="78">
        <v>0.7</v>
      </c>
      <c r="H54" s="78">
        <v>0.76</v>
      </c>
      <c r="I54" s="78">
        <v>1.05</v>
      </c>
      <c r="J54" s="78">
        <v>1.36</v>
      </c>
      <c r="K54" s="78">
        <v>2.83</v>
      </c>
      <c r="L54" s="78">
        <v>6.26</v>
      </c>
      <c r="M54" s="78">
        <v>0</v>
      </c>
      <c r="O54" s="79"/>
      <c r="P54" t="s">
        <v>632</v>
      </c>
      <c r="Q54" s="79"/>
      <c r="R54" s="93">
        <v>37.6</v>
      </c>
      <c r="S54" s="93">
        <v>29.7</v>
      </c>
      <c r="T54">
        <f t="shared" si="30"/>
        <v>33.65</v>
      </c>
      <c r="U54">
        <v>20.8</v>
      </c>
      <c r="V54">
        <v>11.7</v>
      </c>
      <c r="W54">
        <f t="shared" si="31"/>
        <v>16.25</v>
      </c>
      <c r="X54" s="78">
        <v>30.7</v>
      </c>
      <c r="Y54" s="93">
        <v>6</v>
      </c>
    </row>
    <row r="55" spans="1:25">
      <c r="A55" s="1" t="s">
        <v>168</v>
      </c>
      <c r="B55" s="78">
        <v>0</v>
      </c>
      <c r="C55" s="78">
        <v>19.02</v>
      </c>
      <c r="D55" s="78">
        <v>8.9700000000000006</v>
      </c>
      <c r="E55" s="78">
        <v>2.87</v>
      </c>
      <c r="F55" s="78">
        <v>1.29</v>
      </c>
      <c r="G55" s="78">
        <v>0.72</v>
      </c>
      <c r="H55" s="78">
        <v>0.77</v>
      </c>
      <c r="I55" s="78">
        <v>1.07</v>
      </c>
      <c r="J55" s="78">
        <v>1.38</v>
      </c>
      <c r="K55" s="78">
        <v>2.87</v>
      </c>
      <c r="L55" s="78">
        <v>6.35</v>
      </c>
      <c r="M55" s="78">
        <v>0</v>
      </c>
      <c r="O55" s="79"/>
      <c r="P55" t="s">
        <v>633</v>
      </c>
      <c r="Q55" s="79"/>
      <c r="R55" s="93">
        <v>40.799999999999997</v>
      </c>
      <c r="S55" s="93">
        <v>32.6</v>
      </c>
      <c r="T55">
        <f t="shared" si="30"/>
        <v>36.700000000000003</v>
      </c>
      <c r="U55" s="93">
        <v>23.7</v>
      </c>
      <c r="V55" s="93">
        <v>15.1</v>
      </c>
      <c r="W55">
        <f t="shared" si="31"/>
        <v>19.399999999999999</v>
      </c>
      <c r="X55" s="78">
        <v>30.2</v>
      </c>
      <c r="Y55">
        <v>11</v>
      </c>
    </row>
    <row r="56" spans="1:25">
      <c r="A56" s="1"/>
      <c r="O56" s="79"/>
      <c r="P56" t="s">
        <v>260</v>
      </c>
      <c r="Q56" s="79"/>
      <c r="R56" s="93">
        <v>38.700000000000003</v>
      </c>
      <c r="S56" s="93">
        <v>31.2</v>
      </c>
      <c r="T56">
        <f t="shared" si="30"/>
        <v>34.950000000000003</v>
      </c>
      <c r="U56">
        <v>23.9</v>
      </c>
      <c r="V56" s="93">
        <v>16.100000000000001</v>
      </c>
      <c r="W56">
        <f t="shared" si="31"/>
        <v>20</v>
      </c>
      <c r="X56" s="93">
        <v>30.3</v>
      </c>
      <c r="Y56" s="93">
        <v>11</v>
      </c>
    </row>
    <row r="57" spans="1:25">
      <c r="A57" s="1" t="s">
        <v>163</v>
      </c>
      <c r="B57" s="1" t="s">
        <v>169</v>
      </c>
      <c r="O57" s="79"/>
      <c r="P57" s="79"/>
      <c r="Q57" s="79"/>
      <c r="R57" s="79"/>
      <c r="S57" s="79"/>
      <c r="T57" s="79"/>
      <c r="U57" s="79"/>
      <c r="V57" s="79"/>
    </row>
    <row r="58" spans="1:25">
      <c r="A58" s="1" t="s">
        <v>165</v>
      </c>
      <c r="B58">
        <f>+B52/0.0204433</f>
        <v>0</v>
      </c>
      <c r="C58">
        <f t="shared" ref="C58:M58" si="32">+C52/0.0204433</f>
        <v>1130.4437150557883</v>
      </c>
      <c r="D58">
        <f t="shared" si="32"/>
        <v>522.42054854157595</v>
      </c>
      <c r="E58">
        <f t="shared" si="32"/>
        <v>163.3787108734891</v>
      </c>
      <c r="F58">
        <f t="shared" si="32"/>
        <v>72.884514730987661</v>
      </c>
      <c r="G58">
        <f t="shared" si="32"/>
        <v>40.11094099289253</v>
      </c>
      <c r="H58">
        <f t="shared" si="32"/>
        <v>43.535045711797999</v>
      </c>
      <c r="I58">
        <f t="shared" si="32"/>
        <v>60.166411489338799</v>
      </c>
      <c r="J58">
        <f t="shared" si="32"/>
        <v>79.732724168798569</v>
      </c>
      <c r="K58">
        <f t="shared" si="32"/>
        <v>169.24860467732702</v>
      </c>
      <c r="L58">
        <f t="shared" si="32"/>
        <v>378.11899253056015</v>
      </c>
      <c r="M58">
        <f t="shared" si="32"/>
        <v>0</v>
      </c>
      <c r="O58" s="79"/>
      <c r="P58" s="79"/>
      <c r="Q58" s="79"/>
      <c r="R58" s="79"/>
      <c r="S58" s="79"/>
      <c r="T58" s="79"/>
      <c r="U58" s="79"/>
      <c r="V58" s="79"/>
    </row>
    <row r="59" spans="1:25">
      <c r="A59" s="1" t="s">
        <v>166</v>
      </c>
      <c r="B59">
        <f t="shared" ref="B59:M61" si="33">+B53/0.0204433</f>
        <v>0</v>
      </c>
      <c r="C59">
        <f t="shared" si="33"/>
        <v>1122.1280321670181</v>
      </c>
      <c r="D59">
        <f t="shared" si="33"/>
        <v>518.50728600568402</v>
      </c>
      <c r="E59">
        <f t="shared" si="33"/>
        <v>161.91123742252964</v>
      </c>
      <c r="F59">
        <f t="shared" si="33"/>
        <v>72.395356914001155</v>
      </c>
      <c r="G59">
        <f t="shared" si="33"/>
        <v>40.11094099289253</v>
      </c>
      <c r="H59">
        <f t="shared" si="33"/>
        <v>43.0458878948115</v>
      </c>
      <c r="I59">
        <f t="shared" si="33"/>
        <v>59.677253672352307</v>
      </c>
      <c r="J59">
        <f t="shared" si="33"/>
        <v>78.754408534825586</v>
      </c>
      <c r="K59">
        <f t="shared" si="33"/>
        <v>168.27028904335404</v>
      </c>
      <c r="L59">
        <f t="shared" si="33"/>
        <v>375.18404562864117</v>
      </c>
      <c r="M59">
        <f t="shared" si="33"/>
        <v>0</v>
      </c>
      <c r="O59" s="79"/>
      <c r="P59" s="79"/>
      <c r="Q59" s="79"/>
      <c r="R59" s="79"/>
      <c r="S59" s="79"/>
      <c r="T59" s="79"/>
      <c r="U59" s="79"/>
      <c r="V59" s="79"/>
    </row>
    <row r="60" spans="1:25">
      <c r="A60" s="1" t="s">
        <v>167</v>
      </c>
      <c r="B60">
        <f t="shared" si="33"/>
        <v>0</v>
      </c>
      <c r="C60">
        <f t="shared" si="33"/>
        <v>917.17090684967684</v>
      </c>
      <c r="D60">
        <f t="shared" si="33"/>
        <v>432.41551021606097</v>
      </c>
      <c r="E60">
        <f t="shared" si="33"/>
        <v>137.9425043901914</v>
      </c>
      <c r="F60">
        <f t="shared" si="33"/>
        <v>62.123042757284779</v>
      </c>
      <c r="G60">
        <f t="shared" si="33"/>
        <v>34.241047189054598</v>
      </c>
      <c r="H60">
        <f t="shared" si="33"/>
        <v>37.175994090973568</v>
      </c>
      <c r="I60">
        <f t="shared" si="33"/>
        <v>51.361570783581904</v>
      </c>
      <c r="J60">
        <f t="shared" si="33"/>
        <v>66.52546311016323</v>
      </c>
      <c r="K60">
        <f t="shared" si="33"/>
        <v>138.43166220717791</v>
      </c>
      <c r="L60">
        <f t="shared" si="33"/>
        <v>306.21279343354541</v>
      </c>
      <c r="M60">
        <f t="shared" si="33"/>
        <v>0</v>
      </c>
      <c r="O60" s="79"/>
      <c r="P60" s="79"/>
      <c r="Q60" s="79"/>
      <c r="R60" s="79"/>
      <c r="S60" s="79"/>
      <c r="T60" s="79"/>
      <c r="U60" s="79"/>
      <c r="V60" s="79"/>
    </row>
    <row r="61" spans="1:25">
      <c r="A61" s="1" t="s">
        <v>168</v>
      </c>
      <c r="B61">
        <f t="shared" si="33"/>
        <v>0</v>
      </c>
      <c r="C61">
        <f t="shared" si="33"/>
        <v>930.37816790831221</v>
      </c>
      <c r="D61">
        <f t="shared" si="33"/>
        <v>438.77456183688543</v>
      </c>
      <c r="E61">
        <f t="shared" si="33"/>
        <v>140.38829347512387</v>
      </c>
      <c r="F61">
        <f t="shared" si="33"/>
        <v>63.101358391257769</v>
      </c>
      <c r="G61">
        <f t="shared" si="33"/>
        <v>35.219362823027588</v>
      </c>
      <c r="H61">
        <f t="shared" si="33"/>
        <v>37.665151907960066</v>
      </c>
      <c r="I61">
        <f t="shared" si="33"/>
        <v>52.339886417554894</v>
      </c>
      <c r="J61">
        <f t="shared" si="33"/>
        <v>67.503778744136213</v>
      </c>
      <c r="K61">
        <f t="shared" si="33"/>
        <v>140.38829347512387</v>
      </c>
      <c r="L61">
        <f t="shared" si="33"/>
        <v>310.61521378642391</v>
      </c>
      <c r="M61">
        <f t="shared" si="33"/>
        <v>0</v>
      </c>
      <c r="O61" s="79"/>
      <c r="P61" s="79"/>
      <c r="Q61" s="79"/>
      <c r="R61" s="79"/>
      <c r="S61" s="79"/>
      <c r="T61" s="79"/>
      <c r="U61" s="79"/>
      <c r="V61" s="79"/>
    </row>
    <row r="62" spans="1:25">
      <c r="A62" s="1"/>
      <c r="B62" s="81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5">
      <c r="A63" s="1"/>
      <c r="B63" s="81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5">
      <c r="A64" s="1" t="s">
        <v>628</v>
      </c>
      <c r="O64" s="79"/>
      <c r="P64" s="79"/>
      <c r="Q64" s="79"/>
      <c r="R64" s="79"/>
      <c r="S64" s="79"/>
      <c r="T64" s="79"/>
      <c r="U64" s="79"/>
      <c r="V64" s="79"/>
    </row>
    <row r="65" spans="1:22">
      <c r="A65" s="1" t="s">
        <v>160</v>
      </c>
      <c r="O65" s="79"/>
      <c r="P65" s="79"/>
      <c r="Q65" s="79"/>
      <c r="R65" s="79"/>
      <c r="S65" s="79"/>
      <c r="T65" s="79"/>
      <c r="U65" s="79"/>
      <c r="V65" s="79"/>
    </row>
    <row r="66" spans="1:22">
      <c r="A66" s="1" t="s">
        <v>161</v>
      </c>
      <c r="B66" s="1">
        <v>1</v>
      </c>
      <c r="C66" s="1">
        <v>2</v>
      </c>
      <c r="D66" s="1">
        <v>3</v>
      </c>
      <c r="E66" s="1">
        <v>4</v>
      </c>
      <c r="F66" s="1">
        <v>5</v>
      </c>
      <c r="G66" s="1">
        <v>6</v>
      </c>
      <c r="H66" s="1">
        <v>7</v>
      </c>
      <c r="I66" s="1">
        <v>8</v>
      </c>
      <c r="J66" s="1">
        <v>9</v>
      </c>
      <c r="K66" s="1">
        <v>10</v>
      </c>
      <c r="L66" s="1">
        <v>11</v>
      </c>
      <c r="M66" s="1">
        <v>12</v>
      </c>
      <c r="O66" s="79"/>
      <c r="P66" s="79"/>
      <c r="Q66" s="79"/>
      <c r="R66" s="79"/>
      <c r="S66" s="79"/>
      <c r="T66" s="79"/>
      <c r="U66" s="79"/>
      <c r="V66" s="79"/>
    </row>
    <row r="67" spans="1:22">
      <c r="A67" s="1" t="s">
        <v>162</v>
      </c>
      <c r="B67" s="92">
        <v>0</v>
      </c>
      <c r="C67" s="92">
        <v>11.9</v>
      </c>
      <c r="D67" s="92">
        <v>29.5</v>
      </c>
      <c r="E67" s="92">
        <v>115.5</v>
      </c>
      <c r="F67" s="92">
        <v>237.4</v>
      </c>
      <c r="G67" s="92">
        <v>329.9</v>
      </c>
      <c r="H67" s="92">
        <v>340.9</v>
      </c>
      <c r="I67" s="92">
        <v>282.2</v>
      </c>
      <c r="J67" s="92">
        <v>170</v>
      </c>
      <c r="K67" s="92">
        <v>74.599999999999994</v>
      </c>
      <c r="L67" s="92">
        <v>37</v>
      </c>
      <c r="M67" s="92">
        <v>2.2000000000000002</v>
      </c>
      <c r="N67" s="78">
        <v>1631.2</v>
      </c>
      <c r="O67" s="79"/>
      <c r="P67" s="79"/>
      <c r="Q67" s="79"/>
      <c r="R67" s="79"/>
      <c r="S67" s="79"/>
      <c r="T67" s="79"/>
      <c r="U67" s="79"/>
      <c r="V67" s="79"/>
    </row>
    <row r="68" spans="1:22">
      <c r="A68" s="1"/>
      <c r="O68" s="79"/>
      <c r="P68" s="79"/>
      <c r="Q68" s="79"/>
      <c r="R68" s="79"/>
      <c r="S68" s="79"/>
      <c r="T68" s="79"/>
      <c r="U68" s="79"/>
      <c r="V68" s="79"/>
    </row>
    <row r="69" spans="1:22">
      <c r="A69" s="1" t="s">
        <v>163</v>
      </c>
      <c r="B69" s="1" t="s">
        <v>164</v>
      </c>
      <c r="O69" s="79"/>
      <c r="P69" s="79"/>
      <c r="Q69" s="79"/>
      <c r="R69" s="79"/>
      <c r="S69" s="79"/>
      <c r="T69" s="79"/>
      <c r="U69" s="79"/>
      <c r="V69" s="79"/>
    </row>
    <row r="70" spans="1:22">
      <c r="A70" s="1" t="s">
        <v>165</v>
      </c>
      <c r="B70" s="78">
        <v>0</v>
      </c>
      <c r="C70" s="78">
        <v>19.41</v>
      </c>
      <c r="D70" s="78">
        <v>10.27</v>
      </c>
      <c r="E70" s="78">
        <v>2.92</v>
      </c>
      <c r="F70" s="78">
        <v>1.37</v>
      </c>
      <c r="G70" s="78">
        <v>0.9</v>
      </c>
      <c r="H70" s="78">
        <v>1</v>
      </c>
      <c r="I70" s="78">
        <v>1.28</v>
      </c>
      <c r="J70" s="78">
        <v>1.85</v>
      </c>
      <c r="K70" s="78">
        <v>3.58</v>
      </c>
      <c r="L70" s="78">
        <v>6.1</v>
      </c>
      <c r="M70" s="78">
        <v>0</v>
      </c>
      <c r="O70" s="79"/>
      <c r="P70" s="79"/>
      <c r="Q70" s="79"/>
      <c r="R70" s="79"/>
      <c r="S70" s="79"/>
      <c r="T70" s="79"/>
      <c r="U70" s="79"/>
      <c r="V70" s="79"/>
    </row>
    <row r="71" spans="1:22">
      <c r="A71" s="1" t="s">
        <v>166</v>
      </c>
      <c r="B71" s="78">
        <v>0</v>
      </c>
      <c r="C71" s="78">
        <v>19.260000000000002</v>
      </c>
      <c r="D71" s="78">
        <v>10.19</v>
      </c>
      <c r="E71" s="78">
        <v>2.9</v>
      </c>
      <c r="F71" s="78">
        <v>1.36</v>
      </c>
      <c r="G71" s="78">
        <v>0.89</v>
      </c>
      <c r="H71" s="78">
        <v>0.99</v>
      </c>
      <c r="I71" s="78">
        <v>1.27</v>
      </c>
      <c r="J71" s="78">
        <v>1.84</v>
      </c>
      <c r="K71" s="78">
        <v>3.55</v>
      </c>
      <c r="L71" s="78">
        <v>6.06</v>
      </c>
      <c r="M71" s="78">
        <v>0</v>
      </c>
      <c r="O71" s="79"/>
      <c r="P71" s="79"/>
      <c r="Q71" s="79"/>
      <c r="R71" s="79"/>
      <c r="S71" s="79"/>
      <c r="T71" s="79"/>
      <c r="U71" s="79"/>
      <c r="V71" s="79"/>
    </row>
    <row r="72" spans="1:22">
      <c r="A72" s="1" t="s">
        <v>167</v>
      </c>
      <c r="B72" s="78">
        <v>0</v>
      </c>
      <c r="C72" s="78">
        <v>15.75</v>
      </c>
      <c r="D72" s="78">
        <v>8.5</v>
      </c>
      <c r="E72" s="78">
        <v>2.4700000000000002</v>
      </c>
      <c r="F72" s="78">
        <v>1.17</v>
      </c>
      <c r="G72" s="78">
        <v>0.77</v>
      </c>
      <c r="H72" s="78">
        <v>0.85</v>
      </c>
      <c r="I72" s="78">
        <v>1.0900000000000001</v>
      </c>
      <c r="J72" s="78">
        <v>1.55</v>
      </c>
      <c r="K72" s="78">
        <v>2.92</v>
      </c>
      <c r="L72" s="78">
        <v>4.9400000000000004</v>
      </c>
      <c r="M72" s="78">
        <v>0</v>
      </c>
      <c r="O72" s="79"/>
      <c r="P72" s="79"/>
      <c r="Q72" s="79"/>
      <c r="R72" s="79"/>
      <c r="S72" s="79"/>
      <c r="T72" s="79"/>
      <c r="U72" s="79"/>
      <c r="V72" s="79"/>
    </row>
    <row r="73" spans="1:22">
      <c r="A73" s="1" t="s">
        <v>168</v>
      </c>
      <c r="B73" s="78">
        <v>0</v>
      </c>
      <c r="C73" s="78">
        <v>15.98</v>
      </c>
      <c r="D73" s="78">
        <v>8.6300000000000008</v>
      </c>
      <c r="E73" s="78">
        <v>2.5099999999999998</v>
      </c>
      <c r="F73" s="78">
        <v>1.19</v>
      </c>
      <c r="G73" s="78">
        <v>0.78</v>
      </c>
      <c r="H73" s="78">
        <v>0.87</v>
      </c>
      <c r="I73" s="78">
        <v>1.1100000000000001</v>
      </c>
      <c r="J73" s="78">
        <v>1.57</v>
      </c>
      <c r="K73" s="78">
        <v>2.96</v>
      </c>
      <c r="L73" s="78">
        <v>5.01</v>
      </c>
      <c r="M73" s="78">
        <v>0</v>
      </c>
      <c r="O73" s="79"/>
      <c r="P73" s="79"/>
      <c r="Q73" s="79"/>
      <c r="R73" s="79"/>
      <c r="S73" s="79"/>
      <c r="T73" s="79"/>
      <c r="U73" s="79"/>
      <c r="V73" s="79"/>
    </row>
    <row r="74" spans="1:22">
      <c r="A74" s="1"/>
      <c r="O74" s="79"/>
      <c r="P74" s="79"/>
      <c r="Q74" s="79"/>
      <c r="R74" s="79"/>
      <c r="S74" s="79"/>
      <c r="T74" s="79"/>
      <c r="U74" s="79"/>
      <c r="V74" s="79"/>
    </row>
    <row r="75" spans="1:22">
      <c r="A75" s="1" t="s">
        <v>163</v>
      </c>
      <c r="B75" s="1" t="s">
        <v>169</v>
      </c>
      <c r="O75" s="79"/>
      <c r="P75" s="79"/>
      <c r="Q75" s="79"/>
      <c r="R75" s="79"/>
      <c r="S75" s="79"/>
      <c r="T75" s="79"/>
      <c r="U75" s="79"/>
      <c r="V75" s="79"/>
    </row>
    <row r="76" spans="1:22">
      <c r="A76" s="1" t="s">
        <v>165</v>
      </c>
      <c r="B76">
        <f>+B70/0.0204433</f>
        <v>0</v>
      </c>
      <c r="C76">
        <f>+C70/0.0204433</f>
        <v>949.45532277078553</v>
      </c>
      <c r="D76">
        <f t="shared" ref="D76:L76" si="34">+D70/0.0204433</f>
        <v>502.36507804512968</v>
      </c>
      <c r="E76">
        <f t="shared" si="34"/>
        <v>142.83408256005634</v>
      </c>
      <c r="F76">
        <f t="shared" si="34"/>
        <v>67.014620927149721</v>
      </c>
      <c r="G76">
        <f t="shared" si="34"/>
        <v>44.02420352878449</v>
      </c>
      <c r="H76">
        <f t="shared" si="34"/>
        <v>48.915781698649432</v>
      </c>
      <c r="I76">
        <f t="shared" si="34"/>
        <v>62.612200574271277</v>
      </c>
      <c r="J76">
        <f t="shared" si="34"/>
        <v>90.494196142501451</v>
      </c>
      <c r="K76">
        <f t="shared" si="34"/>
        <v>175.11849848116498</v>
      </c>
      <c r="L76">
        <f t="shared" si="34"/>
        <v>298.38626836176149</v>
      </c>
      <c r="M76">
        <f>+M70/0.0204433</f>
        <v>0</v>
      </c>
      <c r="O76" s="79"/>
      <c r="P76" s="79"/>
      <c r="Q76" s="79"/>
      <c r="R76" s="79"/>
      <c r="S76" s="79"/>
      <c r="T76" s="79"/>
      <c r="U76" s="79"/>
      <c r="V76" s="79"/>
    </row>
    <row r="77" spans="1:22">
      <c r="A77" s="1" t="s">
        <v>166</v>
      </c>
      <c r="B77">
        <f t="shared" ref="B77:M79" si="35">+B71/0.0204433</f>
        <v>0</v>
      </c>
      <c r="C77">
        <f t="shared" si="35"/>
        <v>942.11795551598811</v>
      </c>
      <c r="D77">
        <f t="shared" si="35"/>
        <v>498.45181550923769</v>
      </c>
      <c r="E77">
        <f t="shared" si="35"/>
        <v>141.85576692608336</v>
      </c>
      <c r="F77">
        <f t="shared" si="35"/>
        <v>66.52546311016323</v>
      </c>
      <c r="G77">
        <f t="shared" si="35"/>
        <v>43.535045711797999</v>
      </c>
      <c r="H77">
        <f t="shared" si="35"/>
        <v>48.426623881662941</v>
      </c>
      <c r="I77">
        <f t="shared" si="35"/>
        <v>62.123042757284779</v>
      </c>
      <c r="J77">
        <f t="shared" si="35"/>
        <v>90.00503832551496</v>
      </c>
      <c r="K77">
        <f t="shared" si="35"/>
        <v>173.65102503020549</v>
      </c>
      <c r="L77">
        <f t="shared" si="35"/>
        <v>296.42963709381553</v>
      </c>
      <c r="M77">
        <f t="shared" si="35"/>
        <v>0</v>
      </c>
      <c r="O77" s="79"/>
      <c r="P77" s="79"/>
      <c r="Q77" s="79"/>
      <c r="R77" s="79"/>
      <c r="S77" s="79"/>
      <c r="T77" s="79"/>
      <c r="U77" s="79"/>
      <c r="V77" s="79"/>
    </row>
    <row r="78" spans="1:22">
      <c r="A78" s="1" t="s">
        <v>167</v>
      </c>
      <c r="B78">
        <f t="shared" si="35"/>
        <v>0</v>
      </c>
      <c r="C78">
        <f t="shared" si="35"/>
        <v>770.42356175372856</v>
      </c>
      <c r="D78">
        <f t="shared" si="35"/>
        <v>415.78414443852017</v>
      </c>
      <c r="E78">
        <f t="shared" si="35"/>
        <v>120.8219807956641</v>
      </c>
      <c r="F78">
        <f t="shared" si="35"/>
        <v>57.231464587419836</v>
      </c>
      <c r="G78">
        <f t="shared" si="35"/>
        <v>37.665151907960066</v>
      </c>
      <c r="H78">
        <f t="shared" si="35"/>
        <v>41.578414443852019</v>
      </c>
      <c r="I78">
        <f t="shared" si="35"/>
        <v>53.318202051527884</v>
      </c>
      <c r="J78">
        <f t="shared" si="35"/>
        <v>75.819461632906624</v>
      </c>
      <c r="K78">
        <f t="shared" si="35"/>
        <v>142.83408256005634</v>
      </c>
      <c r="L78">
        <f t="shared" si="35"/>
        <v>241.64396159132821</v>
      </c>
      <c r="M78">
        <f t="shared" si="35"/>
        <v>0</v>
      </c>
      <c r="O78" s="79"/>
      <c r="P78" s="79"/>
      <c r="Q78" s="79"/>
      <c r="R78" s="79"/>
      <c r="S78" s="79"/>
      <c r="T78" s="79"/>
      <c r="U78" s="79"/>
      <c r="V78" s="79"/>
    </row>
    <row r="79" spans="1:22">
      <c r="A79" s="1" t="s">
        <v>168</v>
      </c>
      <c r="B79">
        <f t="shared" si="35"/>
        <v>0</v>
      </c>
      <c r="C79">
        <f t="shared" si="35"/>
        <v>781.67419154441791</v>
      </c>
      <c r="D79">
        <f t="shared" si="35"/>
        <v>422.14319605934463</v>
      </c>
      <c r="E79">
        <f t="shared" si="35"/>
        <v>122.77861206361007</v>
      </c>
      <c r="F79">
        <f t="shared" si="35"/>
        <v>58.209780221392819</v>
      </c>
      <c r="G79">
        <f t="shared" si="35"/>
        <v>38.154309724946557</v>
      </c>
      <c r="H79">
        <f t="shared" si="35"/>
        <v>42.556730077825009</v>
      </c>
      <c r="I79">
        <f t="shared" si="35"/>
        <v>54.296517685500874</v>
      </c>
      <c r="J79">
        <f t="shared" si="35"/>
        <v>76.797777266879606</v>
      </c>
      <c r="K79">
        <f t="shared" si="35"/>
        <v>144.79071382800231</v>
      </c>
      <c r="L79">
        <f>+L73/0.0204433</f>
        <v>245.06806631023366</v>
      </c>
      <c r="M79">
        <f t="shared" si="35"/>
        <v>0</v>
      </c>
      <c r="O79" s="79"/>
      <c r="P79" s="79"/>
      <c r="Q79" s="79"/>
      <c r="R79" s="79"/>
      <c r="S79" s="79"/>
      <c r="T79" s="79"/>
      <c r="U79" s="79"/>
      <c r="V79" s="79"/>
    </row>
    <row r="80" spans="1:22">
      <c r="O80" s="79"/>
      <c r="P80" s="79"/>
      <c r="Q80" s="79"/>
      <c r="R80" s="79"/>
      <c r="S80" s="79"/>
      <c r="T80" s="79"/>
      <c r="U80" s="79"/>
      <c r="V80" s="79"/>
    </row>
    <row r="81" spans="1:22">
      <c r="O81" s="79"/>
      <c r="P81" s="79"/>
      <c r="Q81" s="79"/>
      <c r="R81" s="79"/>
      <c r="S81" s="79"/>
      <c r="T81" s="79"/>
      <c r="U81" s="79"/>
      <c r="V81" s="79"/>
    </row>
    <row r="82" spans="1:22">
      <c r="A82" s="1" t="s">
        <v>634</v>
      </c>
      <c r="O82" s="79"/>
      <c r="P82" s="79"/>
      <c r="Q82" s="79"/>
      <c r="R82" s="79"/>
      <c r="S82" s="79"/>
      <c r="T82" s="79"/>
      <c r="U82" s="79"/>
      <c r="V82" s="79"/>
    </row>
    <row r="83" spans="1:22">
      <c r="A83" s="1" t="s">
        <v>160</v>
      </c>
      <c r="O83" s="79"/>
      <c r="P83" s="79"/>
      <c r="Q83" s="79"/>
      <c r="R83" s="79"/>
      <c r="S83" s="79"/>
      <c r="T83" s="79"/>
      <c r="U83" s="79"/>
      <c r="V83" s="79"/>
    </row>
    <row r="84" spans="1:22">
      <c r="A84" s="1" t="s">
        <v>161</v>
      </c>
      <c r="B84" s="1">
        <v>1</v>
      </c>
      <c r="C84" s="1">
        <v>2</v>
      </c>
      <c r="D84" s="1">
        <v>3</v>
      </c>
      <c r="E84" s="1">
        <v>4</v>
      </c>
      <c r="F84" s="1">
        <v>5</v>
      </c>
      <c r="G84" s="1">
        <v>6</v>
      </c>
      <c r="H84" s="1">
        <v>7</v>
      </c>
      <c r="I84" s="1">
        <v>8</v>
      </c>
      <c r="J84" s="1">
        <v>9</v>
      </c>
      <c r="K84" s="1">
        <v>10</v>
      </c>
      <c r="L84" s="1">
        <v>11</v>
      </c>
      <c r="M84" s="1">
        <v>12</v>
      </c>
      <c r="O84" s="79"/>
      <c r="P84" s="79"/>
      <c r="Q84" s="79"/>
      <c r="R84" s="79"/>
      <c r="S84" s="79"/>
      <c r="T84" s="79"/>
      <c r="U84" s="79"/>
      <c r="V84" s="79"/>
    </row>
    <row r="85" spans="1:22">
      <c r="A85" s="1" t="s">
        <v>162</v>
      </c>
      <c r="B85" s="92">
        <v>42</v>
      </c>
      <c r="C85" s="92">
        <v>44</v>
      </c>
      <c r="D85" s="92">
        <v>100</v>
      </c>
      <c r="E85" s="92">
        <v>202</v>
      </c>
      <c r="F85" s="92">
        <v>328</v>
      </c>
      <c r="G85" s="92">
        <v>420</v>
      </c>
      <c r="H85" s="92">
        <v>456</v>
      </c>
      <c r="I85" s="92">
        <v>403</v>
      </c>
      <c r="J85" s="92">
        <v>285</v>
      </c>
      <c r="K85" s="92">
        <v>179</v>
      </c>
      <c r="L85" s="92">
        <v>95</v>
      </c>
      <c r="M85" s="92">
        <v>41</v>
      </c>
      <c r="N85" s="78">
        <v>2595</v>
      </c>
      <c r="O85" s="79"/>
      <c r="P85" s="79"/>
      <c r="Q85" s="79"/>
      <c r="R85" s="79"/>
      <c r="S85" s="79"/>
      <c r="T85" s="79"/>
      <c r="U85" s="79"/>
      <c r="V85" s="79"/>
    </row>
    <row r="86" spans="1:22">
      <c r="A86" s="1"/>
      <c r="P86" s="79"/>
      <c r="Q86" s="79"/>
      <c r="R86" s="79"/>
      <c r="S86" s="79"/>
      <c r="T86" s="79"/>
      <c r="U86" s="79"/>
      <c r="V86" s="79"/>
    </row>
    <row r="87" spans="1:22">
      <c r="A87" s="1" t="s">
        <v>163</v>
      </c>
      <c r="B87" s="1" t="s">
        <v>164</v>
      </c>
      <c r="P87" s="79"/>
      <c r="Q87" s="79"/>
      <c r="R87" s="79"/>
      <c r="S87" s="79"/>
      <c r="T87" s="79"/>
      <c r="U87" s="79"/>
      <c r="V87" s="79"/>
    </row>
    <row r="88" spans="1:22">
      <c r="A88" s="1" t="s">
        <v>165</v>
      </c>
      <c r="B88" s="78">
        <v>5.5</v>
      </c>
      <c r="C88" s="78">
        <v>5.44</v>
      </c>
      <c r="D88" s="78">
        <v>2.89</v>
      </c>
      <c r="E88" s="78">
        <v>1.52</v>
      </c>
      <c r="F88" s="78">
        <v>0.82</v>
      </c>
      <c r="G88" s="78">
        <v>0.55000000000000004</v>
      </c>
      <c r="H88" s="78">
        <v>0.53</v>
      </c>
      <c r="I88" s="78">
        <v>0.78</v>
      </c>
      <c r="J88" s="78">
        <v>0.95</v>
      </c>
      <c r="K88" s="78">
        <v>1.34</v>
      </c>
      <c r="L88" s="78">
        <v>2.35</v>
      </c>
      <c r="M88" s="78">
        <v>5.61</v>
      </c>
      <c r="P88" s="79"/>
      <c r="Q88" s="79"/>
      <c r="R88" s="79"/>
      <c r="S88" s="79"/>
      <c r="T88" s="79"/>
      <c r="U88" s="79"/>
      <c r="V88" s="79"/>
    </row>
    <row r="89" spans="1:22">
      <c r="A89" s="1" t="s">
        <v>166</v>
      </c>
      <c r="B89" s="78">
        <v>5.46</v>
      </c>
      <c r="C89" s="78">
        <v>5.4</v>
      </c>
      <c r="D89" s="78">
        <v>2.87</v>
      </c>
      <c r="E89" s="78">
        <v>1.51</v>
      </c>
      <c r="F89" s="78">
        <v>0.81</v>
      </c>
      <c r="G89" s="78">
        <v>0.54</v>
      </c>
      <c r="H89" s="78">
        <v>0.53</v>
      </c>
      <c r="I89" s="78">
        <v>0.78</v>
      </c>
      <c r="J89" s="78">
        <v>0.94</v>
      </c>
      <c r="K89" s="78">
        <v>1.33</v>
      </c>
      <c r="L89" s="78">
        <v>2.34</v>
      </c>
      <c r="M89" s="78">
        <v>5.57</v>
      </c>
      <c r="P89" s="79"/>
      <c r="Q89" s="79"/>
      <c r="R89" s="79"/>
      <c r="S89" s="79"/>
      <c r="T89" s="79"/>
      <c r="U89" s="79"/>
      <c r="V89" s="79"/>
    </row>
    <row r="90" spans="1:22">
      <c r="A90" s="1" t="s">
        <v>167</v>
      </c>
      <c r="B90" s="78">
        <v>4.46</v>
      </c>
      <c r="C90" s="78">
        <v>4.42</v>
      </c>
      <c r="D90" s="78">
        <v>2.4</v>
      </c>
      <c r="E90" s="78">
        <v>1.29</v>
      </c>
      <c r="F90" s="78">
        <v>0.7</v>
      </c>
      <c r="G90" s="78">
        <v>0.45</v>
      </c>
      <c r="H90" s="78">
        <v>0.45</v>
      </c>
      <c r="I90" s="78">
        <v>0.67</v>
      </c>
      <c r="J90" s="78">
        <v>0.8</v>
      </c>
      <c r="K90" s="78">
        <v>1.1000000000000001</v>
      </c>
      <c r="L90" s="78">
        <v>1.91</v>
      </c>
      <c r="M90" s="78">
        <v>4.57</v>
      </c>
      <c r="P90" s="79"/>
      <c r="Q90" s="79"/>
      <c r="R90" s="79"/>
      <c r="S90" s="79"/>
      <c r="T90" s="79"/>
      <c r="U90" s="79"/>
      <c r="V90" s="79"/>
    </row>
    <row r="91" spans="1:22">
      <c r="A91" s="1" t="s">
        <v>168</v>
      </c>
      <c r="B91" s="78">
        <v>4.53</v>
      </c>
      <c r="C91" s="78">
        <v>4.4800000000000004</v>
      </c>
      <c r="D91" s="78">
        <v>2.44</v>
      </c>
      <c r="E91" s="78">
        <v>1.31</v>
      </c>
      <c r="F91" s="78">
        <v>0.71</v>
      </c>
      <c r="G91" s="78">
        <v>0.48</v>
      </c>
      <c r="H91" s="78">
        <v>0.46</v>
      </c>
      <c r="I91" s="78">
        <v>0.68</v>
      </c>
      <c r="J91" s="78">
        <v>0.81</v>
      </c>
      <c r="K91" s="78">
        <v>1.1200000000000001</v>
      </c>
      <c r="L91" s="78">
        <v>1.94</v>
      </c>
      <c r="M91" s="78">
        <v>4.6399999999999997</v>
      </c>
      <c r="P91" s="79"/>
      <c r="Q91" s="79"/>
      <c r="R91" s="79"/>
      <c r="S91" s="79"/>
      <c r="T91" s="79"/>
      <c r="U91" s="79"/>
      <c r="V91" s="79"/>
    </row>
    <row r="92" spans="1:22">
      <c r="A92" s="1"/>
      <c r="P92" s="79"/>
      <c r="Q92" s="79"/>
      <c r="R92" s="79"/>
      <c r="S92" s="79"/>
      <c r="T92" s="79"/>
      <c r="U92" s="79"/>
      <c r="V92" s="79"/>
    </row>
    <row r="93" spans="1:22">
      <c r="A93" s="1" t="s">
        <v>163</v>
      </c>
      <c r="B93" s="1" t="s">
        <v>169</v>
      </c>
      <c r="P93" s="79"/>
      <c r="Q93" s="79"/>
      <c r="R93" s="79"/>
      <c r="S93" s="79"/>
      <c r="T93" s="79"/>
      <c r="U93" s="79"/>
      <c r="V93" s="79"/>
    </row>
    <row r="94" spans="1:22">
      <c r="A94" s="1" t="s">
        <v>165</v>
      </c>
      <c r="B94">
        <f>+B88/0.0204433</f>
        <v>269.0367993425719</v>
      </c>
      <c r="C94">
        <f>+C88/0.0204433</f>
        <v>266.10185244065292</v>
      </c>
      <c r="D94">
        <f t="shared" ref="D94:K94" si="36">+D88/0.0204433</f>
        <v>141.36660910909686</v>
      </c>
      <c r="E94">
        <f t="shared" si="36"/>
        <v>74.351988181947135</v>
      </c>
      <c r="F94">
        <f t="shared" si="36"/>
        <v>40.11094099289253</v>
      </c>
      <c r="G94">
        <f t="shared" si="36"/>
        <v>26.903679934257191</v>
      </c>
      <c r="H94">
        <f t="shared" si="36"/>
        <v>25.925364300284201</v>
      </c>
      <c r="I94">
        <f t="shared" si="36"/>
        <v>38.154309724946557</v>
      </c>
      <c r="J94">
        <f t="shared" si="36"/>
        <v>46.469992613716961</v>
      </c>
      <c r="K94">
        <f t="shared" si="36"/>
        <v>65.547147476190247</v>
      </c>
      <c r="L94">
        <f>+L88/0.0204433</f>
        <v>114.95208699182618</v>
      </c>
      <c r="M94">
        <f>+M88/0.0204433</f>
        <v>274.41753532942334</v>
      </c>
      <c r="P94" s="79"/>
      <c r="Q94" s="79"/>
      <c r="R94" s="79"/>
      <c r="S94" s="79"/>
      <c r="T94" s="79"/>
      <c r="U94" s="79"/>
      <c r="V94" s="79"/>
    </row>
    <row r="95" spans="1:22">
      <c r="A95" s="1" t="s">
        <v>166</v>
      </c>
      <c r="B95">
        <f t="shared" ref="B95:M97" si="37">+B89/0.0204433</f>
        <v>267.08016807462587</v>
      </c>
      <c r="C95">
        <f t="shared" si="37"/>
        <v>264.14522117270695</v>
      </c>
      <c r="D95">
        <f t="shared" si="37"/>
        <v>140.38829347512387</v>
      </c>
      <c r="E95">
        <f t="shared" si="37"/>
        <v>73.862830364960644</v>
      </c>
      <c r="F95">
        <f t="shared" si="37"/>
        <v>39.621783175906046</v>
      </c>
      <c r="G95">
        <f t="shared" si="37"/>
        <v>26.414522117270696</v>
      </c>
      <c r="H95">
        <f t="shared" si="37"/>
        <v>25.925364300284201</v>
      </c>
      <c r="I95">
        <f t="shared" si="37"/>
        <v>38.154309724946557</v>
      </c>
      <c r="J95">
        <f t="shared" si="37"/>
        <v>45.980834796730463</v>
      </c>
      <c r="K95">
        <f t="shared" si="37"/>
        <v>65.057989659203756</v>
      </c>
      <c r="L95">
        <f t="shared" si="37"/>
        <v>114.46292917483967</v>
      </c>
      <c r="M95">
        <f t="shared" si="37"/>
        <v>272.46090406147738</v>
      </c>
      <c r="P95" s="79"/>
      <c r="Q95" s="79"/>
      <c r="R95" s="79"/>
      <c r="S95" s="79"/>
      <c r="T95" s="79"/>
      <c r="U95" s="79"/>
      <c r="V95" s="79"/>
    </row>
    <row r="96" spans="1:22">
      <c r="A96" s="1" t="s">
        <v>167</v>
      </c>
      <c r="B96">
        <f t="shared" si="37"/>
        <v>218.16438637597648</v>
      </c>
      <c r="C96">
        <f t="shared" si="37"/>
        <v>216.20775510803048</v>
      </c>
      <c r="D96">
        <f t="shared" si="37"/>
        <v>117.39787607675864</v>
      </c>
      <c r="E96">
        <f t="shared" si="37"/>
        <v>63.101358391257769</v>
      </c>
      <c r="F96">
        <f t="shared" si="37"/>
        <v>34.241047189054598</v>
      </c>
      <c r="G96">
        <f t="shared" si="37"/>
        <v>22.012101764392245</v>
      </c>
      <c r="H96">
        <f t="shared" si="37"/>
        <v>22.012101764392245</v>
      </c>
      <c r="I96">
        <f t="shared" si="37"/>
        <v>32.773573738095124</v>
      </c>
      <c r="J96">
        <f t="shared" si="37"/>
        <v>39.132625358919547</v>
      </c>
      <c r="K96">
        <f t="shared" si="37"/>
        <v>53.807359868514382</v>
      </c>
      <c r="L96">
        <f t="shared" si="37"/>
        <v>93.429143044420414</v>
      </c>
      <c r="M96">
        <f t="shared" si="37"/>
        <v>223.54512236282793</v>
      </c>
      <c r="P96" s="79"/>
      <c r="Q96" s="79"/>
      <c r="R96" s="79"/>
      <c r="S96" s="79"/>
      <c r="T96" s="79"/>
      <c r="U96" s="79"/>
      <c r="V96" s="79"/>
    </row>
    <row r="97" spans="1:22">
      <c r="A97" s="1" t="s">
        <v>168</v>
      </c>
      <c r="B97">
        <f t="shared" si="37"/>
        <v>221.58849109488193</v>
      </c>
      <c r="C97">
        <f t="shared" si="37"/>
        <v>219.14270200994949</v>
      </c>
      <c r="D97">
        <f t="shared" si="37"/>
        <v>119.35450734470461</v>
      </c>
      <c r="E97">
        <f t="shared" si="37"/>
        <v>64.079674025230759</v>
      </c>
      <c r="F97">
        <f t="shared" si="37"/>
        <v>34.730205006041096</v>
      </c>
      <c r="G97">
        <f t="shared" si="37"/>
        <v>23.479575215351726</v>
      </c>
      <c r="H97">
        <f t="shared" si="37"/>
        <v>22.50125958137874</v>
      </c>
      <c r="I97">
        <f t="shared" si="37"/>
        <v>33.262731555081615</v>
      </c>
      <c r="J97">
        <f t="shared" si="37"/>
        <v>39.621783175906046</v>
      </c>
      <c r="K97">
        <f t="shared" si="37"/>
        <v>54.785675502487372</v>
      </c>
      <c r="L97">
        <f>+L91/0.0204433</f>
        <v>94.896616495379902</v>
      </c>
      <c r="M97">
        <f>+M91/0.0204433</f>
        <v>226.96922708173335</v>
      </c>
      <c r="P97" s="79"/>
      <c r="Q97" s="79"/>
      <c r="R97" s="79"/>
      <c r="S97" s="79"/>
      <c r="T97" s="79"/>
      <c r="U97" s="79"/>
      <c r="V97" s="79"/>
    </row>
    <row r="98" spans="1:22">
      <c r="P98" s="79"/>
      <c r="Q98" s="79"/>
      <c r="R98" s="79"/>
      <c r="S98" s="79"/>
      <c r="T98" s="79"/>
      <c r="U98" s="79"/>
      <c r="V98" s="79"/>
    </row>
    <row r="99" spans="1:22">
      <c r="P99" s="79"/>
      <c r="Q99" s="79"/>
      <c r="R99" s="79"/>
      <c r="S99" s="79"/>
      <c r="T99" s="79"/>
      <c r="U99" s="79"/>
      <c r="V99" s="79"/>
    </row>
    <row r="100" spans="1:22">
      <c r="P100" s="79"/>
      <c r="Q100" s="79"/>
      <c r="R100" s="79"/>
      <c r="S100" s="79"/>
      <c r="T100" s="79"/>
      <c r="U100" s="79"/>
      <c r="V100" s="79"/>
    </row>
    <row r="101" spans="1:22">
      <c r="A101" s="1" t="s">
        <v>630</v>
      </c>
      <c r="P101" s="79"/>
      <c r="Q101" s="79"/>
      <c r="R101" s="79"/>
      <c r="S101" s="79"/>
      <c r="T101" s="79"/>
      <c r="U101" s="79"/>
      <c r="V101" s="79"/>
    </row>
    <row r="102" spans="1:22">
      <c r="A102" s="1" t="s">
        <v>160</v>
      </c>
      <c r="O102" s="79"/>
      <c r="P102" s="79"/>
      <c r="Q102" s="79"/>
      <c r="R102" s="79"/>
      <c r="S102" s="79"/>
      <c r="T102" s="79"/>
      <c r="U102" s="79"/>
      <c r="V102" s="79"/>
    </row>
    <row r="103" spans="1:22">
      <c r="A103" s="1" t="s">
        <v>161</v>
      </c>
      <c r="B103" s="1">
        <v>1</v>
      </c>
      <c r="C103" s="1">
        <v>2</v>
      </c>
      <c r="D103" s="1">
        <v>3</v>
      </c>
      <c r="E103" s="1">
        <v>4</v>
      </c>
      <c r="F103" s="1">
        <v>5</v>
      </c>
      <c r="G103" s="1">
        <v>6</v>
      </c>
      <c r="H103" s="1">
        <v>7</v>
      </c>
      <c r="I103" s="1">
        <v>8</v>
      </c>
      <c r="J103" s="1">
        <v>9</v>
      </c>
      <c r="K103" s="1">
        <v>10</v>
      </c>
      <c r="L103" s="1">
        <v>11</v>
      </c>
      <c r="M103" s="1">
        <v>12</v>
      </c>
      <c r="O103" s="79"/>
      <c r="P103" s="79"/>
      <c r="Q103" s="79"/>
      <c r="R103" s="79"/>
      <c r="S103" s="79"/>
      <c r="T103" s="79"/>
      <c r="U103" s="79"/>
      <c r="V103" s="79"/>
    </row>
    <row r="104" spans="1:22">
      <c r="A104" s="1" t="s">
        <v>162</v>
      </c>
      <c r="B104" s="78">
        <v>32</v>
      </c>
      <c r="C104" s="78">
        <v>35</v>
      </c>
      <c r="D104" s="78">
        <v>90</v>
      </c>
      <c r="E104" s="78">
        <v>163</v>
      </c>
      <c r="F104" s="78">
        <v>250</v>
      </c>
      <c r="G104" s="78">
        <v>377</v>
      </c>
      <c r="H104" s="78">
        <v>425</v>
      </c>
      <c r="I104" s="78">
        <v>375</v>
      </c>
      <c r="J104" s="78">
        <v>303</v>
      </c>
      <c r="K104" s="78">
        <v>211</v>
      </c>
      <c r="L104" s="78">
        <v>118</v>
      </c>
      <c r="M104" s="78">
        <v>47</v>
      </c>
      <c r="N104" s="78">
        <v>2426</v>
      </c>
      <c r="P104" s="79"/>
      <c r="Q104" s="79"/>
      <c r="R104" s="79"/>
      <c r="S104" s="79"/>
      <c r="T104" s="79"/>
      <c r="U104" s="79"/>
      <c r="V104" s="79"/>
    </row>
    <row r="105" spans="1:22">
      <c r="A105" s="1"/>
      <c r="P105" s="79"/>
      <c r="Q105" s="79"/>
      <c r="R105" s="79"/>
      <c r="S105" s="79"/>
      <c r="T105" s="79"/>
      <c r="U105" s="79"/>
      <c r="V105" s="79"/>
    </row>
    <row r="106" spans="1:22">
      <c r="A106" s="1" t="s">
        <v>163</v>
      </c>
      <c r="B106" s="1" t="s">
        <v>164</v>
      </c>
      <c r="P106" s="79"/>
      <c r="Q106" s="79"/>
      <c r="R106" s="79"/>
      <c r="S106" s="79"/>
      <c r="T106" s="79"/>
      <c r="U106" s="79"/>
      <c r="V106" s="79"/>
    </row>
    <row r="107" spans="1:22">
      <c r="A107" s="1" t="s">
        <v>165</v>
      </c>
      <c r="B107" s="78">
        <v>7.36</v>
      </c>
      <c r="C107" s="78">
        <v>6.96</v>
      </c>
      <c r="D107" s="78">
        <v>3.47</v>
      </c>
      <c r="E107" s="78">
        <v>1.94</v>
      </c>
      <c r="F107" s="78">
        <v>1.1200000000000001</v>
      </c>
      <c r="G107" s="78">
        <v>0.65</v>
      </c>
      <c r="H107" s="78">
        <v>0.6</v>
      </c>
      <c r="I107" s="78">
        <v>0.68</v>
      </c>
      <c r="J107" s="78">
        <v>0.94</v>
      </c>
      <c r="K107" s="78">
        <v>1.26</v>
      </c>
      <c r="L107" s="78">
        <v>1.91</v>
      </c>
      <c r="M107" s="78">
        <v>4.95</v>
      </c>
      <c r="P107" s="79"/>
      <c r="Q107" s="79"/>
      <c r="R107" s="79"/>
      <c r="S107" s="79"/>
      <c r="T107" s="79"/>
      <c r="U107" s="79"/>
      <c r="V107" s="79"/>
    </row>
    <row r="108" spans="1:22">
      <c r="A108" s="1" t="s">
        <v>166</v>
      </c>
      <c r="B108" s="78">
        <v>7.3</v>
      </c>
      <c r="C108" s="78">
        <v>6.91</v>
      </c>
      <c r="D108" s="78">
        <v>3.44</v>
      </c>
      <c r="E108" s="78">
        <v>1.92</v>
      </c>
      <c r="F108" s="78">
        <v>1.1200000000000001</v>
      </c>
      <c r="G108" s="78">
        <v>0.64</v>
      </c>
      <c r="H108" s="78">
        <v>0.6</v>
      </c>
      <c r="I108" s="78">
        <v>0.68</v>
      </c>
      <c r="J108" s="78">
        <v>0.93</v>
      </c>
      <c r="K108" s="78">
        <v>1.25</v>
      </c>
      <c r="L108" s="78">
        <v>1.9</v>
      </c>
      <c r="M108" s="78">
        <v>4.91</v>
      </c>
      <c r="P108" s="79"/>
      <c r="Q108" s="79"/>
      <c r="R108" s="79"/>
      <c r="S108" s="79"/>
      <c r="T108" s="79"/>
      <c r="U108" s="79"/>
      <c r="V108" s="79"/>
    </row>
    <row r="109" spans="1:22">
      <c r="A109" s="1" t="s">
        <v>167</v>
      </c>
      <c r="B109" s="78">
        <v>5.97</v>
      </c>
      <c r="C109" s="78">
        <v>5.66</v>
      </c>
      <c r="D109" s="78">
        <v>2.88</v>
      </c>
      <c r="E109" s="78">
        <v>1.64</v>
      </c>
      <c r="F109" s="78">
        <v>0.96</v>
      </c>
      <c r="G109" s="78">
        <v>0.56000000000000005</v>
      </c>
      <c r="H109" s="78">
        <v>0.51</v>
      </c>
      <c r="I109" s="78">
        <v>0.57999999999999996</v>
      </c>
      <c r="J109" s="78">
        <v>0.78</v>
      </c>
      <c r="K109" s="78">
        <v>1.03</v>
      </c>
      <c r="L109" s="78">
        <v>1.55</v>
      </c>
      <c r="M109" s="78">
        <v>4.0199999999999996</v>
      </c>
      <c r="P109" s="79"/>
      <c r="Q109" s="79"/>
      <c r="R109" s="79"/>
      <c r="S109" s="79"/>
      <c r="T109" s="79"/>
      <c r="U109" s="79"/>
      <c r="V109" s="79"/>
    </row>
    <row r="110" spans="1:22">
      <c r="A110" s="1" t="s">
        <v>168</v>
      </c>
      <c r="B110" s="78">
        <v>6.05</v>
      </c>
      <c r="C110" s="78">
        <v>5.74</v>
      </c>
      <c r="D110" s="78">
        <v>2.92</v>
      </c>
      <c r="E110" s="78">
        <v>1.67</v>
      </c>
      <c r="F110" s="78">
        <v>0.98</v>
      </c>
      <c r="G110" s="78">
        <v>0.56000000000000005</v>
      </c>
      <c r="H110" s="78">
        <v>0.52</v>
      </c>
      <c r="I110" s="78">
        <v>0.59</v>
      </c>
      <c r="J110" s="78">
        <v>0.8</v>
      </c>
      <c r="K110" s="78">
        <v>1.05</v>
      </c>
      <c r="L110" s="78">
        <v>1.57</v>
      </c>
      <c r="M110" s="78">
        <v>4.08</v>
      </c>
      <c r="P110" s="79"/>
      <c r="Q110" s="79"/>
      <c r="R110" s="79"/>
      <c r="S110" s="79"/>
      <c r="T110" s="79"/>
      <c r="U110" s="79"/>
      <c r="V110" s="79"/>
    </row>
    <row r="111" spans="1:22">
      <c r="A111" s="1"/>
      <c r="P111" s="79"/>
      <c r="Q111" s="79"/>
      <c r="R111" s="79"/>
      <c r="S111" s="79"/>
      <c r="T111" s="79"/>
      <c r="U111" s="79"/>
      <c r="V111" s="79"/>
    </row>
    <row r="112" spans="1:22">
      <c r="A112" s="1" t="s">
        <v>163</v>
      </c>
      <c r="B112" s="1" t="s">
        <v>169</v>
      </c>
    </row>
    <row r="113" spans="1:14">
      <c r="A113" s="1" t="s">
        <v>165</v>
      </c>
      <c r="B113">
        <f>+B107/0.0204433</f>
        <v>360.02015330205984</v>
      </c>
      <c r="C113">
        <f t="shared" ref="C113:L113" si="38">+C107/0.0204433</f>
        <v>340.45384062260007</v>
      </c>
      <c r="D113">
        <f t="shared" si="38"/>
        <v>169.73776249431353</v>
      </c>
      <c r="E113">
        <f t="shared" si="38"/>
        <v>94.896616495379902</v>
      </c>
      <c r="F113">
        <f t="shared" si="38"/>
        <v>54.785675502487372</v>
      </c>
      <c r="G113">
        <f t="shared" si="38"/>
        <v>31.795258104122134</v>
      </c>
      <c r="H113">
        <f t="shared" si="38"/>
        <v>29.349469019189659</v>
      </c>
      <c r="I113">
        <f t="shared" si="38"/>
        <v>33.262731555081615</v>
      </c>
      <c r="J113">
        <f t="shared" si="38"/>
        <v>45.980834796730463</v>
      </c>
      <c r="K113">
        <f t="shared" si="38"/>
        <v>61.633884940298287</v>
      </c>
      <c r="L113">
        <f t="shared" si="38"/>
        <v>93.429143044420414</v>
      </c>
      <c r="M113">
        <f>+M107/0.0204433</f>
        <v>242.13311940831471</v>
      </c>
    </row>
    <row r="114" spans="1:14">
      <c r="A114" s="1" t="s">
        <v>166</v>
      </c>
      <c r="B114">
        <f t="shared" ref="B114:M116" si="39">+B108/0.0204433</f>
        <v>357.08520640014086</v>
      </c>
      <c r="C114">
        <f t="shared" si="39"/>
        <v>338.0080515376676</v>
      </c>
      <c r="D114">
        <f t="shared" si="39"/>
        <v>168.27028904335404</v>
      </c>
      <c r="E114">
        <f t="shared" si="39"/>
        <v>93.918300861406905</v>
      </c>
      <c r="F114">
        <f t="shared" si="39"/>
        <v>54.785675502487372</v>
      </c>
      <c r="G114">
        <f t="shared" si="39"/>
        <v>31.306100287135639</v>
      </c>
      <c r="H114">
        <f t="shared" si="39"/>
        <v>29.349469019189659</v>
      </c>
      <c r="I114">
        <f t="shared" si="39"/>
        <v>33.262731555081615</v>
      </c>
      <c r="J114">
        <f t="shared" si="39"/>
        <v>45.491676979743978</v>
      </c>
      <c r="K114">
        <f t="shared" si="39"/>
        <v>61.144727123311789</v>
      </c>
      <c r="L114">
        <f t="shared" si="39"/>
        <v>92.939985227433922</v>
      </c>
      <c r="M114">
        <f t="shared" si="39"/>
        <v>240.17648814036872</v>
      </c>
    </row>
    <row r="115" spans="1:14">
      <c r="A115" s="1" t="s">
        <v>167</v>
      </c>
      <c r="B115">
        <f t="shared" si="39"/>
        <v>292.02721674093709</v>
      </c>
      <c r="C115">
        <f t="shared" si="39"/>
        <v>276.86332441435582</v>
      </c>
      <c r="D115">
        <f t="shared" si="39"/>
        <v>140.87745129211035</v>
      </c>
      <c r="E115">
        <f t="shared" si="39"/>
        <v>80.22188198578506</v>
      </c>
      <c r="F115">
        <f t="shared" si="39"/>
        <v>46.959150430703453</v>
      </c>
      <c r="G115">
        <f t="shared" si="39"/>
        <v>27.392837751243686</v>
      </c>
      <c r="H115">
        <f t="shared" si="39"/>
        <v>24.947048666311211</v>
      </c>
      <c r="I115">
        <f t="shared" si="39"/>
        <v>28.371153385216669</v>
      </c>
      <c r="J115">
        <f t="shared" si="39"/>
        <v>38.154309724946557</v>
      </c>
      <c r="K115">
        <f t="shared" si="39"/>
        <v>50.383255149608914</v>
      </c>
      <c r="L115">
        <f t="shared" si="39"/>
        <v>75.819461632906624</v>
      </c>
      <c r="M115">
        <f t="shared" si="39"/>
        <v>196.64144242857071</v>
      </c>
    </row>
    <row r="116" spans="1:14">
      <c r="A116" s="1" t="s">
        <v>168</v>
      </c>
      <c r="B116">
        <f t="shared" si="39"/>
        <v>295.94047927682908</v>
      </c>
      <c r="C116">
        <f t="shared" si="39"/>
        <v>280.77658695024775</v>
      </c>
      <c r="D116">
        <f t="shared" si="39"/>
        <v>142.83408256005634</v>
      </c>
      <c r="E116">
        <f t="shared" si="39"/>
        <v>81.689355436744549</v>
      </c>
      <c r="F116">
        <f t="shared" si="39"/>
        <v>47.937466064676443</v>
      </c>
      <c r="G116">
        <f t="shared" si="39"/>
        <v>27.392837751243686</v>
      </c>
      <c r="H116">
        <f t="shared" si="39"/>
        <v>25.436206483297706</v>
      </c>
      <c r="I116">
        <f t="shared" si="39"/>
        <v>28.860311202203164</v>
      </c>
      <c r="J116">
        <f t="shared" si="39"/>
        <v>39.132625358919547</v>
      </c>
      <c r="K116">
        <f t="shared" si="39"/>
        <v>51.361570783581904</v>
      </c>
      <c r="L116">
        <f t="shared" si="39"/>
        <v>76.797777266879606</v>
      </c>
      <c r="M116">
        <f>+M110/0.0204433</f>
        <v>199.57638933048969</v>
      </c>
    </row>
    <row r="119" spans="1:14">
      <c r="A119" s="1" t="s">
        <v>631</v>
      </c>
    </row>
    <row r="120" spans="1:14">
      <c r="A120" s="1" t="s">
        <v>160</v>
      </c>
    </row>
    <row r="121" spans="1:14">
      <c r="A121" s="1" t="s">
        <v>161</v>
      </c>
      <c r="B121" s="1">
        <v>1</v>
      </c>
      <c r="C121" s="1">
        <v>2</v>
      </c>
      <c r="D121" s="1">
        <v>3</v>
      </c>
      <c r="E121" s="1">
        <v>4</v>
      </c>
      <c r="F121" s="1">
        <v>5</v>
      </c>
      <c r="G121" s="1">
        <v>6</v>
      </c>
      <c r="H121" s="1">
        <v>7</v>
      </c>
      <c r="I121" s="1">
        <v>8</v>
      </c>
      <c r="J121" s="1">
        <v>9</v>
      </c>
      <c r="K121" s="1">
        <v>10</v>
      </c>
      <c r="L121" s="1">
        <v>11</v>
      </c>
      <c r="M121" s="1">
        <v>12</v>
      </c>
    </row>
    <row r="122" spans="1:14">
      <c r="A122" s="1" t="s">
        <v>162</v>
      </c>
      <c r="B122" s="78">
        <v>0</v>
      </c>
      <c r="C122" s="78">
        <v>16</v>
      </c>
      <c r="D122" s="78">
        <v>38</v>
      </c>
      <c r="E122" s="78">
        <v>118</v>
      </c>
      <c r="F122" s="78">
        <v>262</v>
      </c>
      <c r="G122" s="78">
        <v>372</v>
      </c>
      <c r="H122" s="78">
        <v>356</v>
      </c>
      <c r="I122" s="78">
        <v>336</v>
      </c>
      <c r="J122" s="78">
        <v>207</v>
      </c>
      <c r="K122" s="78">
        <v>86</v>
      </c>
      <c r="L122" s="78">
        <v>43</v>
      </c>
      <c r="M122" s="78">
        <v>13</v>
      </c>
      <c r="N122" s="78">
        <v>1847</v>
      </c>
    </row>
    <row r="123" spans="1:14">
      <c r="A123" s="1"/>
    </row>
    <row r="124" spans="1:14">
      <c r="A124" s="1" t="s">
        <v>163</v>
      </c>
      <c r="B124" s="1" t="s">
        <v>164</v>
      </c>
    </row>
    <row r="125" spans="1:14">
      <c r="A125" s="1" t="s">
        <v>165</v>
      </c>
      <c r="B125" s="78">
        <v>0</v>
      </c>
      <c r="C125" s="78">
        <v>13.67</v>
      </c>
      <c r="D125" s="78">
        <v>7.7</v>
      </c>
      <c r="E125" s="78">
        <v>2.83</v>
      </c>
      <c r="F125" s="78">
        <v>1.24</v>
      </c>
      <c r="G125" s="78">
        <v>0.81</v>
      </c>
      <c r="H125" s="78">
        <v>0.96</v>
      </c>
      <c r="I125" s="78">
        <v>1.0900000000000001</v>
      </c>
      <c r="J125" s="78">
        <v>1.49</v>
      </c>
      <c r="K125" s="78">
        <v>3.08</v>
      </c>
      <c r="L125" s="78">
        <v>5.17</v>
      </c>
      <c r="M125" s="78">
        <v>17.600000000000001</v>
      </c>
    </row>
    <row r="126" spans="1:14">
      <c r="A126" s="1" t="s">
        <v>166</v>
      </c>
      <c r="B126" s="78">
        <v>0</v>
      </c>
      <c r="C126" s="78">
        <v>13.57</v>
      </c>
      <c r="D126" s="78">
        <v>7.64</v>
      </c>
      <c r="E126" s="78">
        <v>2.81</v>
      </c>
      <c r="F126" s="78">
        <v>1.23</v>
      </c>
      <c r="G126" s="78">
        <v>0.81</v>
      </c>
      <c r="H126" s="78">
        <v>0.95</v>
      </c>
      <c r="I126" s="78">
        <v>1.08</v>
      </c>
      <c r="J126" s="78">
        <v>1.48</v>
      </c>
      <c r="K126" s="78">
        <v>3.05</v>
      </c>
      <c r="L126" s="78">
        <v>5.13</v>
      </c>
      <c r="M126" s="78">
        <v>17.47</v>
      </c>
    </row>
    <row r="127" spans="1:14">
      <c r="A127" s="1" t="s">
        <v>167</v>
      </c>
      <c r="B127" s="78">
        <v>0</v>
      </c>
      <c r="C127" s="78">
        <v>11.1</v>
      </c>
      <c r="D127" s="78">
        <v>6.36</v>
      </c>
      <c r="E127" s="78">
        <v>2.39</v>
      </c>
      <c r="F127" s="78">
        <v>1.06</v>
      </c>
      <c r="G127" s="78">
        <v>0.7</v>
      </c>
      <c r="H127" s="78">
        <v>0.82</v>
      </c>
      <c r="I127" s="78">
        <v>0.93</v>
      </c>
      <c r="J127" s="78">
        <v>0.76</v>
      </c>
      <c r="K127" s="78">
        <v>2.5</v>
      </c>
      <c r="L127" s="78">
        <v>4.1900000000000004</v>
      </c>
      <c r="M127" s="78">
        <v>14.36</v>
      </c>
    </row>
    <row r="128" spans="1:14">
      <c r="A128" s="1" t="s">
        <v>168</v>
      </c>
      <c r="B128" s="78">
        <v>0</v>
      </c>
      <c r="C128" s="78">
        <v>11.26</v>
      </c>
      <c r="D128" s="78">
        <v>6.45</v>
      </c>
      <c r="E128" s="78">
        <v>2.4300000000000002</v>
      </c>
      <c r="F128" s="78">
        <v>1.08</v>
      </c>
      <c r="G128" s="78">
        <v>0.71</v>
      </c>
      <c r="H128" s="78">
        <v>0.83</v>
      </c>
      <c r="I128" s="78">
        <v>0.94</v>
      </c>
      <c r="J128" s="78">
        <v>0.77</v>
      </c>
      <c r="K128" s="78">
        <v>2.54</v>
      </c>
      <c r="L128" s="78">
        <v>4.25</v>
      </c>
      <c r="M128" s="78">
        <v>14.57</v>
      </c>
    </row>
    <row r="129" spans="1:14">
      <c r="A129" s="1"/>
    </row>
    <row r="130" spans="1:14">
      <c r="A130" s="1" t="s">
        <v>163</v>
      </c>
      <c r="B130" s="1" t="s">
        <v>169</v>
      </c>
    </row>
    <row r="131" spans="1:14">
      <c r="A131" s="1" t="s">
        <v>165</v>
      </c>
      <c r="B131">
        <f>+B125/0.0204433</f>
        <v>0</v>
      </c>
      <c r="C131">
        <f t="shared" ref="C131:M131" si="40">+C125/0.0204433</f>
        <v>668.67873582053778</v>
      </c>
      <c r="D131">
        <f t="shared" si="40"/>
        <v>376.65151907960063</v>
      </c>
      <c r="E131">
        <f t="shared" si="40"/>
        <v>138.43166220717791</v>
      </c>
      <c r="F131">
        <f t="shared" si="40"/>
        <v>60.655569306325297</v>
      </c>
      <c r="G131">
        <f t="shared" si="40"/>
        <v>39.621783175906046</v>
      </c>
      <c r="H131">
        <f t="shared" si="40"/>
        <v>46.959150430703453</v>
      </c>
      <c r="I131">
        <f t="shared" si="40"/>
        <v>53.318202051527884</v>
      </c>
      <c r="J131">
        <f t="shared" si="40"/>
        <v>72.884514730987661</v>
      </c>
      <c r="K131">
        <f t="shared" si="40"/>
        <v>150.66060763184026</v>
      </c>
      <c r="L131">
        <f t="shared" si="40"/>
        <v>252.89459138201755</v>
      </c>
      <c r="M131">
        <f t="shared" si="40"/>
        <v>860.91775789623011</v>
      </c>
    </row>
    <row r="132" spans="1:14">
      <c r="A132" s="1" t="s">
        <v>166</v>
      </c>
      <c r="B132">
        <f t="shared" ref="B132:M134" si="41">+B126/0.0204433</f>
        <v>0</v>
      </c>
      <c r="C132">
        <f t="shared" si="41"/>
        <v>663.78715765067284</v>
      </c>
      <c r="D132">
        <f t="shared" si="41"/>
        <v>373.71657217768166</v>
      </c>
      <c r="E132">
        <f t="shared" si="41"/>
        <v>137.4533465732049</v>
      </c>
      <c r="F132">
        <f t="shared" si="41"/>
        <v>60.166411489338799</v>
      </c>
      <c r="G132">
        <f t="shared" si="41"/>
        <v>39.621783175906046</v>
      </c>
      <c r="H132">
        <f t="shared" si="41"/>
        <v>46.469992613716961</v>
      </c>
      <c r="I132">
        <f t="shared" si="41"/>
        <v>52.829044234541392</v>
      </c>
      <c r="J132">
        <f t="shared" si="41"/>
        <v>72.395356914001155</v>
      </c>
      <c r="K132">
        <f t="shared" si="41"/>
        <v>149.19313418088075</v>
      </c>
      <c r="L132">
        <f>+L126/0.0204433</f>
        <v>250.93796011407159</v>
      </c>
      <c r="M132">
        <f t="shared" si="41"/>
        <v>854.55870627540548</v>
      </c>
    </row>
    <row r="133" spans="1:14">
      <c r="A133" s="1" t="s">
        <v>167</v>
      </c>
      <c r="B133">
        <f t="shared" si="41"/>
        <v>0</v>
      </c>
      <c r="C133">
        <f t="shared" si="41"/>
        <v>542.96517685500874</v>
      </c>
      <c r="D133">
        <f t="shared" si="41"/>
        <v>311.10437160341041</v>
      </c>
      <c r="E133">
        <f t="shared" si="41"/>
        <v>116.90871825977214</v>
      </c>
      <c r="F133">
        <f t="shared" si="41"/>
        <v>51.850728600568402</v>
      </c>
      <c r="G133">
        <f t="shared" si="41"/>
        <v>34.241047189054598</v>
      </c>
      <c r="H133">
        <f t="shared" si="41"/>
        <v>40.11094099289253</v>
      </c>
      <c r="I133">
        <f t="shared" si="41"/>
        <v>45.491676979743978</v>
      </c>
      <c r="J133">
        <f t="shared" si="41"/>
        <v>37.175994090973568</v>
      </c>
      <c r="K133">
        <f t="shared" si="41"/>
        <v>122.28945424662358</v>
      </c>
      <c r="L133">
        <f>+L127/0.0204433</f>
        <v>204.95712531734114</v>
      </c>
      <c r="M133">
        <f t="shared" si="41"/>
        <v>702.43062519260582</v>
      </c>
    </row>
    <row r="134" spans="1:14">
      <c r="A134" s="1" t="s">
        <v>168</v>
      </c>
      <c r="B134">
        <f t="shared" si="41"/>
        <v>0</v>
      </c>
      <c r="C134">
        <f t="shared" si="41"/>
        <v>550.7917019267926</v>
      </c>
      <c r="D134">
        <f t="shared" si="41"/>
        <v>315.50679195628885</v>
      </c>
      <c r="E134">
        <f t="shared" si="41"/>
        <v>118.86534952771812</v>
      </c>
      <c r="F134">
        <f t="shared" si="41"/>
        <v>52.829044234541392</v>
      </c>
      <c r="G134">
        <f t="shared" si="41"/>
        <v>34.730205006041096</v>
      </c>
      <c r="H134">
        <f t="shared" si="41"/>
        <v>40.600098809879029</v>
      </c>
      <c r="I134">
        <f t="shared" si="41"/>
        <v>45.980834796730463</v>
      </c>
      <c r="J134">
        <f t="shared" si="41"/>
        <v>37.665151907960066</v>
      </c>
      <c r="K134">
        <f t="shared" si="41"/>
        <v>124.24608551456956</v>
      </c>
      <c r="L134">
        <f>+L128/0.0204433</f>
        <v>207.89207221926009</v>
      </c>
      <c r="M134">
        <f t="shared" si="41"/>
        <v>712.70293934932226</v>
      </c>
    </row>
    <row r="137" spans="1:14">
      <c r="A137" s="1" t="s">
        <v>632</v>
      </c>
    </row>
    <row r="138" spans="1:14">
      <c r="A138" s="1" t="s">
        <v>160</v>
      </c>
    </row>
    <row r="139" spans="1:14">
      <c r="A139" s="1" t="s">
        <v>161</v>
      </c>
      <c r="B139" s="1">
        <v>1</v>
      </c>
      <c r="C139" s="1">
        <v>2</v>
      </c>
      <c r="D139" s="1">
        <v>3</v>
      </c>
      <c r="E139" s="1">
        <v>4</v>
      </c>
      <c r="F139" s="1">
        <v>5</v>
      </c>
      <c r="G139" s="1">
        <v>6</v>
      </c>
      <c r="H139" s="1">
        <v>7</v>
      </c>
      <c r="I139" s="1">
        <v>8</v>
      </c>
      <c r="J139" s="1">
        <v>9</v>
      </c>
      <c r="K139" s="1">
        <v>10</v>
      </c>
      <c r="L139" s="1">
        <v>11</v>
      </c>
      <c r="M139" s="1">
        <v>12</v>
      </c>
    </row>
    <row r="140" spans="1:14">
      <c r="A140" s="1" t="s">
        <v>162</v>
      </c>
      <c r="B140" s="78">
        <v>9.1</v>
      </c>
      <c r="C140" s="78">
        <v>25.7</v>
      </c>
      <c r="D140" s="78">
        <v>69.8</v>
      </c>
      <c r="E140" s="78">
        <v>146.5</v>
      </c>
      <c r="F140" s="78">
        <v>287.89999999999998</v>
      </c>
      <c r="G140" s="78">
        <v>386.6</v>
      </c>
      <c r="H140" s="78">
        <v>399.7</v>
      </c>
      <c r="I140" s="78">
        <v>337.8</v>
      </c>
      <c r="J140" s="78">
        <v>240.6</v>
      </c>
      <c r="K140" s="78">
        <v>136.1</v>
      </c>
      <c r="L140" s="78">
        <v>46.4</v>
      </c>
      <c r="M140" s="78">
        <v>26.5</v>
      </c>
      <c r="N140" s="78">
        <v>2112.6999999999998</v>
      </c>
    </row>
    <row r="141" spans="1:14">
      <c r="A141" s="1"/>
    </row>
    <row r="142" spans="1:14">
      <c r="A142" s="1" t="s">
        <v>163</v>
      </c>
      <c r="B142" s="1" t="s">
        <v>164</v>
      </c>
    </row>
    <row r="143" spans="1:14">
      <c r="A143" s="1" t="s">
        <v>165</v>
      </c>
      <c r="B143" s="78">
        <v>25.37</v>
      </c>
      <c r="C143" s="78">
        <v>8.52</v>
      </c>
      <c r="D143" s="78">
        <v>4.1900000000000004</v>
      </c>
      <c r="E143" s="78">
        <v>2.2799999999999998</v>
      </c>
      <c r="F143" s="78">
        <v>1.1299999999999999</v>
      </c>
      <c r="G143" s="78">
        <v>0.79</v>
      </c>
      <c r="H143" s="78">
        <v>0.85</v>
      </c>
      <c r="I143" s="78">
        <v>1.0900000000000001</v>
      </c>
      <c r="J143" s="78">
        <v>1.29</v>
      </c>
      <c r="K143" s="78">
        <v>1.95</v>
      </c>
      <c r="L143" s="78">
        <v>4.79</v>
      </c>
      <c r="M143" s="78">
        <v>8.52</v>
      </c>
    </row>
    <row r="144" spans="1:14">
      <c r="A144" s="1" t="s">
        <v>166</v>
      </c>
      <c r="B144" s="78">
        <v>25.19</v>
      </c>
      <c r="C144" s="78">
        <v>8.4600000000000009</v>
      </c>
      <c r="D144" s="78">
        <v>4.16</v>
      </c>
      <c r="E144" s="78">
        <v>2.2599999999999998</v>
      </c>
      <c r="F144" s="78">
        <v>1.1200000000000001</v>
      </c>
      <c r="G144" s="78">
        <v>0.78</v>
      </c>
      <c r="H144" s="78">
        <v>0.85</v>
      </c>
      <c r="I144" s="78">
        <v>1.08</v>
      </c>
      <c r="J144" s="78">
        <v>1.28</v>
      </c>
      <c r="K144" s="78">
        <v>1.93</v>
      </c>
      <c r="L144" s="78">
        <v>4.75</v>
      </c>
      <c r="M144" s="78">
        <v>8.4600000000000009</v>
      </c>
    </row>
    <row r="145" spans="1:14">
      <c r="A145" s="1" t="s">
        <v>167</v>
      </c>
      <c r="B145" s="78">
        <v>20.6</v>
      </c>
      <c r="C145" s="78">
        <v>6.92</v>
      </c>
      <c r="D145" s="78">
        <v>3.47</v>
      </c>
      <c r="E145" s="78">
        <v>1.93</v>
      </c>
      <c r="F145" s="78">
        <v>0.97</v>
      </c>
      <c r="G145" s="78">
        <v>0.67</v>
      </c>
      <c r="H145" s="78">
        <v>0.73</v>
      </c>
      <c r="I145" s="78">
        <v>0.92</v>
      </c>
      <c r="J145" s="78">
        <v>1.07</v>
      </c>
      <c r="K145" s="78">
        <v>1.58</v>
      </c>
      <c r="L145" s="78">
        <v>3.88</v>
      </c>
      <c r="M145" s="78">
        <v>6.96</v>
      </c>
    </row>
    <row r="146" spans="1:14">
      <c r="A146" s="1" t="s">
        <v>168</v>
      </c>
      <c r="B146" s="78">
        <v>20.9</v>
      </c>
      <c r="C146" s="78">
        <v>7.02</v>
      </c>
      <c r="D146" s="78">
        <v>3.52</v>
      </c>
      <c r="E146" s="78">
        <v>1.96</v>
      </c>
      <c r="F146" s="78">
        <v>0.98</v>
      </c>
      <c r="G146" s="78">
        <v>0.68</v>
      </c>
      <c r="H146" s="78">
        <v>0.74</v>
      </c>
      <c r="I146" s="78">
        <v>0.94</v>
      </c>
      <c r="J146" s="78">
        <v>1.0900000000000001</v>
      </c>
      <c r="K146" s="78">
        <v>1.61</v>
      </c>
      <c r="L146" s="78">
        <v>3.94</v>
      </c>
      <c r="M146" s="78">
        <v>7.07</v>
      </c>
    </row>
    <row r="147" spans="1:14">
      <c r="A147" s="1"/>
    </row>
    <row r="148" spans="1:14">
      <c r="A148" s="1" t="s">
        <v>163</v>
      </c>
      <c r="B148" s="1" t="s">
        <v>169</v>
      </c>
    </row>
    <row r="149" spans="1:14">
      <c r="A149" s="1" t="s">
        <v>165</v>
      </c>
      <c r="B149">
        <f>+B143/0.0204433</f>
        <v>1240.9933816947362</v>
      </c>
      <c r="C149">
        <f t="shared" ref="C149:M149" si="42">+C143/0.0204433</f>
        <v>416.76246007249313</v>
      </c>
      <c r="D149">
        <f t="shared" si="42"/>
        <v>204.95712531734114</v>
      </c>
      <c r="E149">
        <f t="shared" si="42"/>
        <v>111.5279822729207</v>
      </c>
      <c r="F149">
        <f t="shared" si="42"/>
        <v>55.274833319473856</v>
      </c>
      <c r="G149">
        <f t="shared" si="42"/>
        <v>38.643467541933056</v>
      </c>
      <c r="H149">
        <f t="shared" si="42"/>
        <v>41.578414443852019</v>
      </c>
      <c r="I149">
        <f t="shared" si="42"/>
        <v>53.318202051527884</v>
      </c>
      <c r="J149">
        <f t="shared" si="42"/>
        <v>63.101358391257769</v>
      </c>
      <c r="K149">
        <f t="shared" si="42"/>
        <v>95.385774312366394</v>
      </c>
      <c r="L149">
        <f t="shared" si="42"/>
        <v>234.30659433653079</v>
      </c>
      <c r="M149">
        <f t="shared" si="42"/>
        <v>416.76246007249313</v>
      </c>
    </row>
    <row r="150" spans="1:14">
      <c r="A150" s="1" t="s">
        <v>166</v>
      </c>
      <c r="B150">
        <f t="shared" ref="B150:M152" si="43">+B144/0.0204433</f>
        <v>1232.1885409889792</v>
      </c>
      <c r="C150">
        <f t="shared" si="43"/>
        <v>413.82751317057426</v>
      </c>
      <c r="D150">
        <f t="shared" si="43"/>
        <v>203.48965186638165</v>
      </c>
      <c r="E150">
        <f t="shared" si="43"/>
        <v>110.54966663894771</v>
      </c>
      <c r="F150">
        <f t="shared" si="43"/>
        <v>54.785675502487372</v>
      </c>
      <c r="G150">
        <f t="shared" si="43"/>
        <v>38.154309724946557</v>
      </c>
      <c r="H150">
        <f t="shared" si="43"/>
        <v>41.578414443852019</v>
      </c>
      <c r="I150">
        <f t="shared" si="43"/>
        <v>52.829044234541392</v>
      </c>
      <c r="J150">
        <f t="shared" si="43"/>
        <v>62.612200574271277</v>
      </c>
      <c r="K150">
        <f t="shared" si="43"/>
        <v>94.407458678393397</v>
      </c>
      <c r="L150">
        <f t="shared" si="43"/>
        <v>232.3499630685848</v>
      </c>
      <c r="M150">
        <f t="shared" si="43"/>
        <v>413.82751317057426</v>
      </c>
    </row>
    <row r="151" spans="1:14">
      <c r="A151" s="1" t="s">
        <v>167</v>
      </c>
      <c r="B151">
        <f>+B145/0.0204433</f>
        <v>1007.6651029921784</v>
      </c>
      <c r="C151">
        <f t="shared" si="43"/>
        <v>338.49720935465405</v>
      </c>
      <c r="D151">
        <f t="shared" si="43"/>
        <v>169.73776249431353</v>
      </c>
      <c r="E151">
        <f t="shared" si="43"/>
        <v>94.407458678393397</v>
      </c>
      <c r="F151">
        <f t="shared" si="43"/>
        <v>47.448308247689951</v>
      </c>
      <c r="G151">
        <f t="shared" si="43"/>
        <v>32.773573738095124</v>
      </c>
      <c r="H151">
        <f t="shared" si="43"/>
        <v>35.708520640014086</v>
      </c>
      <c r="I151">
        <f t="shared" si="43"/>
        <v>45.00251916275748</v>
      </c>
      <c r="J151">
        <f t="shared" si="43"/>
        <v>52.339886417554894</v>
      </c>
      <c r="K151">
        <f t="shared" si="43"/>
        <v>77.286935083866112</v>
      </c>
      <c r="L151">
        <f t="shared" si="43"/>
        <v>189.7932329907598</v>
      </c>
      <c r="M151">
        <f t="shared" si="43"/>
        <v>340.45384062260007</v>
      </c>
    </row>
    <row r="152" spans="1:14">
      <c r="A152" s="1" t="s">
        <v>168</v>
      </c>
      <c r="B152">
        <f>+B146/0.0204433</f>
        <v>1022.3398375017731</v>
      </c>
      <c r="C152">
        <f t="shared" si="43"/>
        <v>343.38878752451899</v>
      </c>
      <c r="D152">
        <f t="shared" si="43"/>
        <v>172.183551579246</v>
      </c>
      <c r="E152">
        <f t="shared" si="43"/>
        <v>95.874932129352885</v>
      </c>
      <c r="F152">
        <f t="shared" si="43"/>
        <v>47.937466064676443</v>
      </c>
      <c r="G152">
        <f t="shared" si="43"/>
        <v>33.262731555081615</v>
      </c>
      <c r="H152">
        <f t="shared" si="43"/>
        <v>36.197678457000578</v>
      </c>
      <c r="I152">
        <f t="shared" si="43"/>
        <v>45.980834796730463</v>
      </c>
      <c r="J152">
        <f t="shared" si="43"/>
        <v>53.318202051527884</v>
      </c>
      <c r="K152">
        <f t="shared" si="43"/>
        <v>78.754408534825586</v>
      </c>
      <c r="L152">
        <f t="shared" si="43"/>
        <v>192.72817989267875</v>
      </c>
      <c r="M152">
        <f t="shared" si="43"/>
        <v>345.83457660945152</v>
      </c>
    </row>
    <row r="153" spans="1:14">
      <c r="A153" s="1"/>
    </row>
    <row r="155" spans="1:14">
      <c r="A155" s="1" t="s">
        <v>633</v>
      </c>
    </row>
    <row r="156" spans="1:14">
      <c r="A156" s="1" t="s">
        <v>161</v>
      </c>
      <c r="B156" s="1">
        <v>1</v>
      </c>
      <c r="C156" s="1">
        <v>2</v>
      </c>
      <c r="D156" s="1">
        <v>3</v>
      </c>
      <c r="E156" s="1">
        <v>4</v>
      </c>
      <c r="F156" s="1">
        <v>5</v>
      </c>
      <c r="G156" s="1">
        <v>6</v>
      </c>
      <c r="H156" s="1">
        <v>7</v>
      </c>
      <c r="I156" s="1">
        <v>8</v>
      </c>
      <c r="J156" s="1">
        <v>9</v>
      </c>
      <c r="K156" s="1">
        <v>10</v>
      </c>
      <c r="L156" s="1">
        <v>11</v>
      </c>
      <c r="M156" s="1">
        <v>12</v>
      </c>
    </row>
    <row r="157" spans="1:14">
      <c r="A157" s="1" t="s">
        <v>162</v>
      </c>
      <c r="B157" s="78">
        <v>0</v>
      </c>
      <c r="C157" s="78">
        <v>9.9</v>
      </c>
      <c r="D157" s="78">
        <v>24</v>
      </c>
      <c r="E157" s="78">
        <v>106.8</v>
      </c>
      <c r="F157" s="78">
        <v>212.8</v>
      </c>
      <c r="G157" s="78">
        <v>311.8</v>
      </c>
      <c r="H157" s="78">
        <v>316.2</v>
      </c>
      <c r="I157" s="78">
        <v>254.6</v>
      </c>
      <c r="J157" s="78">
        <v>162.6</v>
      </c>
      <c r="K157" s="78">
        <v>59.4</v>
      </c>
      <c r="L157" s="78">
        <v>26.9</v>
      </c>
      <c r="M157" s="78">
        <v>0</v>
      </c>
      <c r="N157" s="78">
        <v>1485</v>
      </c>
    </row>
    <row r="158" spans="1:14">
      <c r="A158" s="1"/>
    </row>
    <row r="159" spans="1:14">
      <c r="A159" s="1" t="s">
        <v>163</v>
      </c>
      <c r="B159" s="1" t="s">
        <v>164</v>
      </c>
    </row>
    <row r="160" spans="1:14">
      <c r="A160" s="1" t="s">
        <v>165</v>
      </c>
      <c r="B160" s="78">
        <v>0</v>
      </c>
      <c r="C160" s="78">
        <v>23.72</v>
      </c>
      <c r="D160" s="78">
        <v>12.79</v>
      </c>
      <c r="E160" s="78">
        <v>2.91</v>
      </c>
      <c r="F160" s="78">
        <v>1.4</v>
      </c>
      <c r="G160" s="78">
        <v>0.83</v>
      </c>
      <c r="H160" s="78">
        <v>0.8</v>
      </c>
      <c r="I160" s="78">
        <v>1.29</v>
      </c>
      <c r="J160" s="78">
        <v>1.75</v>
      </c>
      <c r="K160" s="78">
        <v>4.17</v>
      </c>
      <c r="L160" s="78">
        <v>8.23</v>
      </c>
      <c r="M160" s="78">
        <v>0</v>
      </c>
    </row>
    <row r="161" spans="1:14">
      <c r="A161" s="1" t="s">
        <v>166</v>
      </c>
      <c r="B161" s="78">
        <v>0</v>
      </c>
      <c r="C161" s="78">
        <v>23.54</v>
      </c>
      <c r="D161" s="78">
        <v>12.69</v>
      </c>
      <c r="E161" s="78">
        <v>2.89</v>
      </c>
      <c r="F161" s="78">
        <v>1.39</v>
      </c>
      <c r="G161" s="78">
        <v>0.82</v>
      </c>
      <c r="H161" s="78">
        <v>0.8</v>
      </c>
      <c r="I161" s="78">
        <v>1.28</v>
      </c>
      <c r="J161" s="78">
        <v>1.74</v>
      </c>
      <c r="K161" s="78">
        <v>4.1399999999999997</v>
      </c>
      <c r="L161" s="78">
        <v>8.17</v>
      </c>
      <c r="M161" s="78">
        <v>0</v>
      </c>
    </row>
    <row r="162" spans="1:14">
      <c r="A162" s="1" t="s">
        <v>167</v>
      </c>
      <c r="B162" s="78">
        <v>0</v>
      </c>
      <c r="C162" s="78">
        <v>19.25</v>
      </c>
      <c r="D162" s="78">
        <v>10.6</v>
      </c>
      <c r="E162" s="78">
        <v>2.46</v>
      </c>
      <c r="F162" s="78">
        <v>1.2</v>
      </c>
      <c r="G162" s="78">
        <v>0.71</v>
      </c>
      <c r="H162" s="78">
        <v>0.69</v>
      </c>
      <c r="I162" s="78">
        <v>1.1000000000000001</v>
      </c>
      <c r="J162" s="78">
        <v>1.47</v>
      </c>
      <c r="K162" s="78">
        <v>3.41</v>
      </c>
      <c r="L162" s="78">
        <v>6.68</v>
      </c>
      <c r="M162" s="78">
        <v>0</v>
      </c>
    </row>
    <row r="163" spans="1:14">
      <c r="A163" s="1" t="s">
        <v>168</v>
      </c>
      <c r="B163" s="78">
        <v>0</v>
      </c>
      <c r="C163" s="78">
        <v>19.53</v>
      </c>
      <c r="D163" s="78">
        <v>10.75</v>
      </c>
      <c r="E163" s="78">
        <v>2.5</v>
      </c>
      <c r="F163" s="78">
        <v>1.21</v>
      </c>
      <c r="G163" s="78">
        <v>0.72</v>
      </c>
      <c r="H163" s="78">
        <v>0.7</v>
      </c>
      <c r="I163" s="78">
        <v>1.1100000000000001</v>
      </c>
      <c r="J163" s="78">
        <v>1.49</v>
      </c>
      <c r="K163" s="78">
        <v>3.46</v>
      </c>
      <c r="L163" s="78">
        <v>6.78</v>
      </c>
      <c r="M163" s="78">
        <v>0</v>
      </c>
    </row>
    <row r="164" spans="1:14">
      <c r="A164" s="1"/>
    </row>
    <row r="165" spans="1:14">
      <c r="A165" s="1" t="s">
        <v>163</v>
      </c>
      <c r="B165" s="1" t="s">
        <v>169</v>
      </c>
    </row>
    <row r="166" spans="1:14">
      <c r="A166" s="1" t="s">
        <v>165</v>
      </c>
      <c r="B166">
        <f>+B160/0.0204433</f>
        <v>0</v>
      </c>
      <c r="C166">
        <f>+C160/0.0204433</f>
        <v>1160.2823418919645</v>
      </c>
      <c r="D166">
        <f t="shared" ref="D166:M166" si="44">+D160/0.0204433</f>
        <v>625.6328479257262</v>
      </c>
      <c r="E166">
        <f t="shared" si="44"/>
        <v>142.34492474306987</v>
      </c>
      <c r="F166">
        <f t="shared" si="44"/>
        <v>68.482094378109196</v>
      </c>
      <c r="G166">
        <f t="shared" si="44"/>
        <v>40.600098809879029</v>
      </c>
      <c r="H166">
        <f t="shared" si="44"/>
        <v>39.132625358919547</v>
      </c>
      <c r="I166">
        <f t="shared" si="44"/>
        <v>63.101358391257769</v>
      </c>
      <c r="J166">
        <f t="shared" si="44"/>
        <v>85.602617972636509</v>
      </c>
      <c r="K166">
        <f t="shared" si="44"/>
        <v>203.97880968336813</v>
      </c>
      <c r="L166">
        <f t="shared" si="44"/>
        <v>402.57688337988486</v>
      </c>
      <c r="M166">
        <f t="shared" si="44"/>
        <v>0</v>
      </c>
    </row>
    <row r="167" spans="1:14">
      <c r="A167" s="1" t="s">
        <v>166</v>
      </c>
      <c r="B167">
        <f t="shared" ref="B167:M169" si="45">+B161/0.0204433</f>
        <v>0</v>
      </c>
      <c r="C167">
        <f>+C161/0.0204433</f>
        <v>1151.4775011862075</v>
      </c>
      <c r="D167">
        <f t="shared" si="45"/>
        <v>620.74126975586125</v>
      </c>
      <c r="E167">
        <f t="shared" si="45"/>
        <v>141.36660910909686</v>
      </c>
      <c r="F167">
        <f t="shared" si="45"/>
        <v>67.992936561122704</v>
      </c>
      <c r="G167">
        <f t="shared" si="45"/>
        <v>40.11094099289253</v>
      </c>
      <c r="H167">
        <f t="shared" si="45"/>
        <v>39.132625358919547</v>
      </c>
      <c r="I167">
        <f t="shared" si="45"/>
        <v>62.612200574271277</v>
      </c>
      <c r="J167">
        <f t="shared" si="45"/>
        <v>85.113460155650017</v>
      </c>
      <c r="K167">
        <f t="shared" si="45"/>
        <v>202.51133623240864</v>
      </c>
      <c r="L167">
        <f t="shared" si="45"/>
        <v>399.64193647796588</v>
      </c>
      <c r="M167">
        <f t="shared" si="45"/>
        <v>0</v>
      </c>
    </row>
    <row r="168" spans="1:14">
      <c r="A168" s="1" t="s">
        <v>167</v>
      </c>
      <c r="B168">
        <f t="shared" si="45"/>
        <v>0</v>
      </c>
      <c r="C168">
        <f>+C162/0.0204433</f>
        <v>941.62879769900155</v>
      </c>
      <c r="D168">
        <f t="shared" si="45"/>
        <v>518.50728600568402</v>
      </c>
      <c r="E168">
        <f t="shared" si="45"/>
        <v>120.3328229786776</v>
      </c>
      <c r="F168">
        <f t="shared" si="45"/>
        <v>58.698938038379318</v>
      </c>
      <c r="G168">
        <f t="shared" si="45"/>
        <v>34.730205006041096</v>
      </c>
      <c r="H168">
        <f t="shared" si="45"/>
        <v>33.751889372068106</v>
      </c>
      <c r="I168">
        <f t="shared" si="45"/>
        <v>53.807359868514382</v>
      </c>
      <c r="J168">
        <f t="shared" si="45"/>
        <v>71.906199097014664</v>
      </c>
      <c r="K168">
        <f t="shared" si="45"/>
        <v>166.80281559239458</v>
      </c>
      <c r="L168">
        <f t="shared" si="45"/>
        <v>326.7574217469782</v>
      </c>
      <c r="M168">
        <f t="shared" si="45"/>
        <v>0</v>
      </c>
    </row>
    <row r="169" spans="1:14">
      <c r="A169" s="1" t="s">
        <v>168</v>
      </c>
      <c r="B169">
        <f t="shared" si="45"/>
        <v>0</v>
      </c>
      <c r="C169">
        <f>+C163/0.0204433</f>
        <v>955.32521657462348</v>
      </c>
      <c r="D169">
        <f t="shared" si="45"/>
        <v>525.84465326048144</v>
      </c>
      <c r="E169">
        <f t="shared" si="45"/>
        <v>122.28945424662358</v>
      </c>
      <c r="F169">
        <f t="shared" si="45"/>
        <v>59.188095855365809</v>
      </c>
      <c r="G169">
        <f t="shared" si="45"/>
        <v>35.219362823027588</v>
      </c>
      <c r="H169">
        <f t="shared" si="45"/>
        <v>34.241047189054598</v>
      </c>
      <c r="I169">
        <f t="shared" si="45"/>
        <v>54.296517685500874</v>
      </c>
      <c r="J169">
        <f t="shared" si="45"/>
        <v>72.884514730987661</v>
      </c>
      <c r="K169">
        <f t="shared" si="45"/>
        <v>169.24860467732702</v>
      </c>
      <c r="L169">
        <f t="shared" si="45"/>
        <v>331.64899991684314</v>
      </c>
      <c r="M169">
        <f t="shared" si="45"/>
        <v>0</v>
      </c>
    </row>
    <row r="170" spans="1:14">
      <c r="A170" s="1"/>
      <c r="B170" s="81"/>
      <c r="J170" s="79"/>
      <c r="K170" s="79"/>
      <c r="L170" s="79"/>
      <c r="M170" s="79"/>
      <c r="N170" s="79"/>
    </row>
    <row r="172" spans="1:14">
      <c r="A172" s="1" t="s">
        <v>260</v>
      </c>
    </row>
    <row r="173" spans="1:14">
      <c r="A173" s="1" t="s">
        <v>160</v>
      </c>
    </row>
    <row r="174" spans="1:14">
      <c r="A174" s="1" t="s">
        <v>161</v>
      </c>
      <c r="B174" s="1">
        <v>1</v>
      </c>
      <c r="C174" s="1">
        <v>2</v>
      </c>
      <c r="D174" s="1">
        <v>3</v>
      </c>
      <c r="E174" s="1">
        <v>4</v>
      </c>
      <c r="F174" s="1">
        <v>5</v>
      </c>
      <c r="G174" s="1">
        <v>6</v>
      </c>
      <c r="H174" s="1">
        <v>7</v>
      </c>
      <c r="I174" s="1">
        <v>8</v>
      </c>
      <c r="J174" s="1">
        <v>9</v>
      </c>
      <c r="K174" s="1">
        <v>10</v>
      </c>
      <c r="L174" s="1">
        <v>11</v>
      </c>
      <c r="M174" s="1">
        <v>12</v>
      </c>
    </row>
    <row r="175" spans="1:14">
      <c r="A175" s="1" t="s">
        <v>162</v>
      </c>
      <c r="B175" s="78">
        <v>0</v>
      </c>
      <c r="C175" s="78">
        <v>7</v>
      </c>
      <c r="D175" s="78">
        <v>19</v>
      </c>
      <c r="E175" s="78">
        <v>95</v>
      </c>
      <c r="F175" s="78">
        <v>219</v>
      </c>
      <c r="G175" s="78">
        <v>353</v>
      </c>
      <c r="H175" s="78">
        <v>369</v>
      </c>
      <c r="I175" s="78">
        <v>301</v>
      </c>
      <c r="J175" s="78">
        <v>187</v>
      </c>
      <c r="K175" s="78">
        <v>59</v>
      </c>
      <c r="L175" s="78">
        <v>18</v>
      </c>
      <c r="M175" s="78">
        <v>1</v>
      </c>
      <c r="N175" s="78">
        <f>SUM(B175:M175)</f>
        <v>1628</v>
      </c>
    </row>
    <row r="176" spans="1:14">
      <c r="A176" s="1"/>
    </row>
    <row r="177" spans="1:13">
      <c r="A177" s="1" t="s">
        <v>163</v>
      </c>
      <c r="B177" s="1" t="s">
        <v>164</v>
      </c>
    </row>
    <row r="178" spans="1:13">
      <c r="A178" s="1" t="s">
        <v>165</v>
      </c>
      <c r="B178" s="78">
        <v>0</v>
      </c>
      <c r="C178" s="78">
        <v>31.34</v>
      </c>
      <c r="D178" s="78">
        <v>15.4</v>
      </c>
      <c r="E178" s="78">
        <v>3.39</v>
      </c>
      <c r="F178" s="78">
        <v>1.48</v>
      </c>
      <c r="G178" s="78">
        <v>0.8</v>
      </c>
      <c r="H178" s="78">
        <v>0.75</v>
      </c>
      <c r="I178" s="78">
        <v>1.17</v>
      </c>
      <c r="J178" s="78">
        <v>1.52</v>
      </c>
      <c r="K178" s="78">
        <v>4.3099999999999996</v>
      </c>
      <c r="L178" s="78">
        <v>12.12</v>
      </c>
      <c r="M178" s="78">
        <v>0</v>
      </c>
    </row>
    <row r="179" spans="1:13">
      <c r="A179" s="1" t="s">
        <v>166</v>
      </c>
      <c r="B179" s="78">
        <v>0</v>
      </c>
      <c r="C179" s="78">
        <v>31.11</v>
      </c>
      <c r="D179" s="78">
        <v>15.29</v>
      </c>
      <c r="E179" s="78">
        <v>3.36</v>
      </c>
      <c r="F179" s="78">
        <v>1.47</v>
      </c>
      <c r="G179" s="78">
        <v>0.79</v>
      </c>
      <c r="H179" s="78">
        <v>0.74</v>
      </c>
      <c r="I179" s="78">
        <v>1.1599999999999999</v>
      </c>
      <c r="J179" s="78">
        <v>1.51</v>
      </c>
      <c r="K179" s="78">
        <v>4.28</v>
      </c>
      <c r="L179" s="78">
        <v>12.03</v>
      </c>
      <c r="M179" s="78">
        <v>0</v>
      </c>
    </row>
    <row r="180" spans="1:13">
      <c r="A180" s="1" t="s">
        <v>167</v>
      </c>
      <c r="B180" s="78">
        <v>0</v>
      </c>
      <c r="C180" s="78">
        <v>25.42</v>
      </c>
      <c r="D180" s="78">
        <v>12.71</v>
      </c>
      <c r="E180" s="78">
        <v>2.86</v>
      </c>
      <c r="F180" s="78">
        <v>1.26</v>
      </c>
      <c r="G180" s="78">
        <v>0.69</v>
      </c>
      <c r="H180" s="78">
        <v>0.64</v>
      </c>
      <c r="I180" s="78">
        <v>0.99</v>
      </c>
      <c r="J180" s="78">
        <v>1.26</v>
      </c>
      <c r="K180" s="78">
        <v>3.51</v>
      </c>
      <c r="L180" s="78">
        <v>9.83</v>
      </c>
      <c r="M180" s="78">
        <v>0</v>
      </c>
    </row>
    <row r="181" spans="1:13">
      <c r="A181" s="1" t="s">
        <v>168</v>
      </c>
      <c r="B181" s="78">
        <v>0</v>
      </c>
      <c r="C181" s="78">
        <v>25.79</v>
      </c>
      <c r="D181" s="78">
        <v>12.9</v>
      </c>
      <c r="E181" s="78">
        <v>2.9</v>
      </c>
      <c r="F181" s="78">
        <v>1.28</v>
      </c>
      <c r="G181" s="78">
        <v>0.7</v>
      </c>
      <c r="H181" s="78">
        <v>0.65</v>
      </c>
      <c r="I181" s="78">
        <v>1.01</v>
      </c>
      <c r="J181" s="78">
        <v>1.28</v>
      </c>
      <c r="K181" s="78">
        <v>3.56</v>
      </c>
      <c r="L181" s="78">
        <v>9.98</v>
      </c>
      <c r="M181" s="78">
        <v>0</v>
      </c>
    </row>
    <row r="182" spans="1:13">
      <c r="A182" s="1"/>
    </row>
    <row r="183" spans="1:13">
      <c r="A183" s="1" t="s">
        <v>163</v>
      </c>
      <c r="B183" s="1" t="s">
        <v>169</v>
      </c>
    </row>
    <row r="184" spans="1:13">
      <c r="A184" s="1" t="s">
        <v>165</v>
      </c>
      <c r="B184">
        <f>+B178/0.0204433</f>
        <v>0</v>
      </c>
      <c r="C184">
        <f t="shared" ref="C184:M184" si="46">+C178/0.0204433</f>
        <v>1533.0205984356733</v>
      </c>
      <c r="D184">
        <f t="shared" si="46"/>
        <v>753.30303815920126</v>
      </c>
      <c r="E184">
        <f t="shared" si="46"/>
        <v>165.82449995842157</v>
      </c>
      <c r="F184">
        <f t="shared" si="46"/>
        <v>72.395356914001155</v>
      </c>
      <c r="G184">
        <f t="shared" si="46"/>
        <v>39.132625358919547</v>
      </c>
      <c r="H184">
        <f t="shared" si="46"/>
        <v>36.686836273987076</v>
      </c>
      <c r="I184">
        <f t="shared" si="46"/>
        <v>57.231464587419836</v>
      </c>
      <c r="J184">
        <f t="shared" si="46"/>
        <v>74.351988181947135</v>
      </c>
      <c r="K184">
        <f t="shared" si="46"/>
        <v>210.82701912117903</v>
      </c>
      <c r="L184">
        <f t="shared" si="46"/>
        <v>592.85927418763106</v>
      </c>
      <c r="M184">
        <f t="shared" si="46"/>
        <v>0</v>
      </c>
    </row>
    <row r="185" spans="1:13">
      <c r="A185" s="1" t="s">
        <v>166</v>
      </c>
      <c r="B185">
        <f t="shared" ref="B185:M187" si="47">+B179/0.0204433</f>
        <v>0</v>
      </c>
      <c r="C185">
        <f t="shared" si="47"/>
        <v>1521.7699686449839</v>
      </c>
      <c r="D185">
        <f t="shared" si="47"/>
        <v>747.92230217234976</v>
      </c>
      <c r="E185">
        <f t="shared" si="47"/>
        <v>164.35702650746208</v>
      </c>
      <c r="F185">
        <f t="shared" si="47"/>
        <v>71.906199097014664</v>
      </c>
      <c r="G185">
        <f t="shared" si="47"/>
        <v>38.643467541933056</v>
      </c>
      <c r="H185">
        <f t="shared" si="47"/>
        <v>36.197678457000578</v>
      </c>
      <c r="I185">
        <f t="shared" si="47"/>
        <v>56.742306770433338</v>
      </c>
      <c r="J185">
        <f t="shared" si="47"/>
        <v>73.862830364960644</v>
      </c>
      <c r="K185">
        <f t="shared" si="47"/>
        <v>209.35954567021957</v>
      </c>
      <c r="L185">
        <f t="shared" si="47"/>
        <v>588.45685383475268</v>
      </c>
      <c r="M185">
        <f t="shared" si="47"/>
        <v>0</v>
      </c>
    </row>
    <row r="186" spans="1:13">
      <c r="A186" s="1" t="s">
        <v>167</v>
      </c>
      <c r="B186">
        <f t="shared" si="47"/>
        <v>0</v>
      </c>
      <c r="C186">
        <f t="shared" si="47"/>
        <v>1243.4391707796688</v>
      </c>
      <c r="D186">
        <f t="shared" si="47"/>
        <v>621.71958538983438</v>
      </c>
      <c r="E186">
        <f t="shared" si="47"/>
        <v>139.89913565813737</v>
      </c>
      <c r="F186">
        <f t="shared" si="47"/>
        <v>61.633884940298287</v>
      </c>
      <c r="G186">
        <f t="shared" si="47"/>
        <v>33.751889372068106</v>
      </c>
      <c r="H186">
        <f t="shared" si="47"/>
        <v>31.306100287135639</v>
      </c>
      <c r="I186">
        <f t="shared" si="47"/>
        <v>48.426623881662941</v>
      </c>
      <c r="J186">
        <f t="shared" si="47"/>
        <v>61.633884940298287</v>
      </c>
      <c r="K186">
        <f t="shared" si="47"/>
        <v>171.69439376225949</v>
      </c>
      <c r="L186">
        <f t="shared" si="47"/>
        <v>480.84213409772394</v>
      </c>
      <c r="M186">
        <f t="shared" si="47"/>
        <v>0</v>
      </c>
    </row>
    <row r="187" spans="1:13">
      <c r="A187" s="1" t="s">
        <v>168</v>
      </c>
      <c r="B187">
        <f t="shared" si="47"/>
        <v>0</v>
      </c>
      <c r="C187">
        <f t="shared" si="47"/>
        <v>1261.5380100081688</v>
      </c>
      <c r="D187">
        <f t="shared" si="47"/>
        <v>631.0135839125777</v>
      </c>
      <c r="E187">
        <f t="shared" si="47"/>
        <v>141.85576692608336</v>
      </c>
      <c r="F187">
        <f t="shared" si="47"/>
        <v>62.612200574271277</v>
      </c>
      <c r="G187">
        <f t="shared" si="47"/>
        <v>34.241047189054598</v>
      </c>
      <c r="H187">
        <f t="shared" si="47"/>
        <v>31.795258104122134</v>
      </c>
      <c r="I187">
        <f t="shared" si="47"/>
        <v>49.404939515635931</v>
      </c>
      <c r="J187">
        <f t="shared" si="47"/>
        <v>62.612200574271277</v>
      </c>
      <c r="K187">
        <f t="shared" si="47"/>
        <v>174.14018284719199</v>
      </c>
      <c r="L187">
        <f t="shared" si="47"/>
        <v>488.17950135252136</v>
      </c>
      <c r="M187">
        <f t="shared" si="47"/>
        <v>0</v>
      </c>
    </row>
    <row r="192" spans="1:13">
      <c r="A192" s="1" t="s">
        <v>168</v>
      </c>
      <c r="B192" s="433">
        <v>57.085510760117728</v>
      </c>
      <c r="C192" s="433">
        <v>53.820785929850288</v>
      </c>
      <c r="D192" s="433">
        <v>48.603204873203971</v>
      </c>
      <c r="E192" s="433">
        <v>36.199475741145221</v>
      </c>
      <c r="F192" s="433">
        <v>25.810774087868225</v>
      </c>
      <c r="G192" s="433">
        <v>16.664311629276018</v>
      </c>
      <c r="H192" s="433">
        <v>15.857433425593836</v>
      </c>
      <c r="I192" s="433">
        <v>22.066728597007515</v>
      </c>
      <c r="J192" s="433">
        <v>21.737423678160987</v>
      </c>
      <c r="K192" s="433">
        <v>22.496035527956909</v>
      </c>
      <c r="L192" s="433">
        <v>27.67549281418966</v>
      </c>
      <c r="M192" s="433">
        <v>37.886929764952882</v>
      </c>
    </row>
    <row r="193" spans="1:1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12"/>
  <sheetViews>
    <sheetView zoomScaleNormal="100" workbookViewId="0">
      <selection activeCell="E212" sqref="E212:E223"/>
    </sheetView>
  </sheetViews>
  <sheetFormatPr baseColWidth="10" defaultRowHeight="12.75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2" width="11.42578125" customWidth="1"/>
    <col min="13" max="15" width="11.42578125" hidden="1" customWidth="1"/>
    <col min="16" max="16" width="17.7109375" hidden="1" customWidth="1"/>
    <col min="17" max="17" width="15" hidden="1" customWidth="1"/>
    <col min="18" max="28" width="11.42578125" hidden="1" customWidth="1"/>
    <col min="29" max="29" width="13.140625" customWidth="1"/>
  </cols>
  <sheetData>
    <row r="1" spans="1:41" ht="13.5" thickBo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588"/>
      <c r="AC1" s="588"/>
      <c r="AD1" s="588"/>
      <c r="AE1" s="588"/>
      <c r="AF1" s="588"/>
      <c r="AG1" s="588"/>
    </row>
    <row r="2" spans="1:41" ht="13.5" thickBot="1">
      <c r="A2" s="310" t="s">
        <v>261</v>
      </c>
      <c r="B2" s="305" t="str">
        <f>VLOOKUP(Lugar!E84,Lugar!A64:C83,2)</f>
        <v>Rama Caída</v>
      </c>
      <c r="C2" s="128"/>
      <c r="D2" s="128"/>
      <c r="E2" s="128"/>
      <c r="F2" s="128"/>
      <c r="G2" s="128"/>
      <c r="H2" s="128"/>
      <c r="I2" s="128"/>
      <c r="J2" s="128"/>
      <c r="K2" s="128"/>
      <c r="L2" s="588"/>
      <c r="AC2" s="588"/>
      <c r="AD2" s="588"/>
      <c r="AE2" s="588"/>
      <c r="AF2" s="588"/>
      <c r="AG2" s="588"/>
    </row>
    <row r="3" spans="1:4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588"/>
      <c r="AC3" s="588"/>
      <c r="AD3" s="588"/>
      <c r="AE3" s="588"/>
      <c r="AF3" s="588"/>
      <c r="AG3" s="588"/>
    </row>
    <row r="4" spans="1:41">
      <c r="A4" s="306" t="s">
        <v>520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588"/>
      <c r="N4" s="88" t="s">
        <v>208</v>
      </c>
      <c r="O4" s="78"/>
      <c r="P4" s="78"/>
      <c r="Q4" s="78"/>
      <c r="R4" s="78" t="s">
        <v>206</v>
      </c>
      <c r="S4" s="78">
        <f>IF($B$2="San Rafael",+mensual!T49,IF($B$2="Rama Caída",+mensual!T50,IF($B$2="Malargue",+mensual!T51,IF($B$2="Bardas Blancas",+mensual!T52,IF($B$2="La Consulta",+mensual!T53,IF($B$2="San Carlos",+mensual!T54,IF($B$2="General Alvear",+mensual!T55,IF($B$2="Dagoberto Sardina",+mensual!T56,0))))))))</f>
        <v>34.85</v>
      </c>
      <c r="T4" s="78" t="s">
        <v>207</v>
      </c>
      <c r="U4" s="78">
        <f>IF($B$2="San Rafael",+mensual!W49,IF($B$2="Rama Caída",+mensual!W50,IF($B$2="Malargue",+mensual!W51,IF($B$2="Bardas Blancas",+mensual!W52,IF($B$2="La Consulta",+mensual!W53,IF($B$2="San Carlos",+mensual!W54,IF($B$2="General Alvear",+mensual!W55,IF($B$2="Dagoberto Sardina",+mensual!W56,0))))))))</f>
        <v>18.8</v>
      </c>
      <c r="W4" s="78"/>
      <c r="X4" s="78"/>
      <c r="Y4" s="78"/>
      <c r="Z4" s="78"/>
      <c r="AA4" s="78"/>
      <c r="AC4" s="588"/>
      <c r="AD4" s="588"/>
      <c r="AE4" s="588"/>
      <c r="AF4" s="588"/>
      <c r="AG4" s="588"/>
    </row>
    <row r="5" spans="1:41" ht="12.75" customHeight="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588"/>
      <c r="N5" s="7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78"/>
      <c r="AC5" s="588"/>
      <c r="AD5" s="588"/>
      <c r="AE5" s="588"/>
      <c r="AF5" s="588"/>
      <c r="AG5" s="588"/>
      <c r="AH5" s="78"/>
      <c r="AI5" s="78"/>
      <c r="AJ5" s="78"/>
      <c r="AK5" s="78"/>
      <c r="AL5" s="78"/>
      <c r="AM5" s="78"/>
      <c r="AN5" s="78"/>
      <c r="AO5" s="78"/>
    </row>
    <row r="6" spans="1:41" ht="12.75" hidden="1" customHeight="1">
      <c r="A6" s="306" t="s">
        <v>196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588"/>
      <c r="N6" s="88" t="s">
        <v>187</v>
      </c>
      <c r="O6" s="219">
        <v>0</v>
      </c>
      <c r="P6" s="219">
        <v>2</v>
      </c>
      <c r="Q6" s="219">
        <v>4</v>
      </c>
      <c r="R6" s="219">
        <v>6</v>
      </c>
      <c r="S6" s="219">
        <v>8</v>
      </c>
      <c r="T6" s="219">
        <v>10</v>
      </c>
      <c r="U6" s="219">
        <v>12</v>
      </c>
      <c r="V6" s="219">
        <v>14</v>
      </c>
      <c r="W6" s="219">
        <v>16</v>
      </c>
      <c r="X6" s="219">
        <v>18</v>
      </c>
      <c r="Y6" s="219">
        <v>20</v>
      </c>
      <c r="Z6" s="219">
        <v>22</v>
      </c>
      <c r="AA6" s="78"/>
      <c r="AC6" s="588"/>
      <c r="AD6" s="588"/>
      <c r="AE6" s="588"/>
      <c r="AF6" s="588"/>
      <c r="AG6" s="588"/>
      <c r="AH6" s="78"/>
      <c r="AI6" s="78"/>
      <c r="AJ6" s="78"/>
      <c r="AK6" s="78"/>
      <c r="AL6" s="78"/>
      <c r="AM6" s="78"/>
      <c r="AN6" s="78"/>
      <c r="AO6" s="78"/>
    </row>
    <row r="7" spans="1:41" ht="12.75" hidden="1" customHeight="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588"/>
      <c r="N7" s="88" t="s">
        <v>205</v>
      </c>
      <c r="O7" s="219">
        <v>0.222</v>
      </c>
      <c r="P7" s="218">
        <v>0.13900000000000001</v>
      </c>
      <c r="Q7" s="218">
        <v>5.6000000000000001E-2</v>
      </c>
      <c r="R7" s="218">
        <v>0</v>
      </c>
      <c r="S7" s="218">
        <v>0.111</v>
      </c>
      <c r="T7" s="218">
        <v>0.58299999999999996</v>
      </c>
      <c r="U7" s="218">
        <v>0.86099999999999999</v>
      </c>
      <c r="V7" s="218">
        <v>1</v>
      </c>
      <c r="W7" s="218">
        <v>0.91700000000000004</v>
      </c>
      <c r="X7" s="218">
        <v>0.69399999999999995</v>
      </c>
      <c r="Y7" s="218">
        <v>0.44400000000000001</v>
      </c>
      <c r="Z7" s="218">
        <v>0.309</v>
      </c>
      <c r="AA7" s="78"/>
      <c r="AC7" s="588"/>
      <c r="AD7" s="588"/>
      <c r="AE7" s="588"/>
      <c r="AF7" s="588"/>
      <c r="AG7" s="588"/>
      <c r="AH7" s="88"/>
      <c r="AI7" s="88"/>
      <c r="AJ7" s="88"/>
      <c r="AK7" s="88"/>
      <c r="AL7" s="88"/>
      <c r="AM7" s="88"/>
      <c r="AN7" s="78"/>
      <c r="AO7" s="78"/>
    </row>
    <row r="8" spans="1:41" ht="14.25" hidden="1" customHeight="1">
      <c r="A8" s="96" t="s">
        <v>531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588"/>
      <c r="N8" s="88" t="s">
        <v>204</v>
      </c>
      <c r="O8" s="88">
        <f t="shared" ref="O8:Z8" si="0">+($S$4-$U$4)*O7+$U$4</f>
        <v>22.363100000000003</v>
      </c>
      <c r="P8" s="88">
        <f t="shared" si="0"/>
        <v>21.030950000000001</v>
      </c>
      <c r="Q8" s="88">
        <f t="shared" si="0"/>
        <v>19.698800000000002</v>
      </c>
      <c r="R8" s="88">
        <f t="shared" si="0"/>
        <v>18.8</v>
      </c>
      <c r="S8" s="88">
        <f t="shared" si="0"/>
        <v>20.58155</v>
      </c>
      <c r="T8" s="88">
        <f t="shared" si="0"/>
        <v>28.157150000000001</v>
      </c>
      <c r="U8" s="88">
        <f t="shared" si="0"/>
        <v>32.619050000000001</v>
      </c>
      <c r="V8" s="88">
        <f t="shared" si="0"/>
        <v>34.85</v>
      </c>
      <c r="W8" s="88">
        <f t="shared" si="0"/>
        <v>33.517850000000003</v>
      </c>
      <c r="X8" s="88">
        <f t="shared" si="0"/>
        <v>29.938700000000001</v>
      </c>
      <c r="Y8" s="88">
        <f t="shared" si="0"/>
        <v>25.926200000000001</v>
      </c>
      <c r="Z8" s="88">
        <f t="shared" si="0"/>
        <v>23.759450000000001</v>
      </c>
      <c r="AA8" s="78"/>
      <c r="AC8" s="588"/>
      <c r="AD8" s="588"/>
      <c r="AE8" s="588"/>
      <c r="AF8" s="588"/>
      <c r="AG8" s="588"/>
      <c r="AH8" s="78"/>
      <c r="AI8" s="78"/>
      <c r="AJ8" s="78"/>
      <c r="AK8" s="78"/>
      <c r="AL8" s="78"/>
      <c r="AM8" s="78"/>
      <c r="AN8" s="78"/>
      <c r="AO8" s="78"/>
    </row>
    <row r="9" spans="1:41" ht="12.75" hidden="1" customHeigh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588"/>
      <c r="N9" s="88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C9" s="588"/>
      <c r="AD9" s="588"/>
      <c r="AE9" s="588"/>
      <c r="AF9" s="588"/>
      <c r="AG9" s="588"/>
      <c r="AH9" s="88"/>
      <c r="AI9" s="88"/>
      <c r="AJ9" s="88"/>
      <c r="AK9" s="88"/>
      <c r="AL9" s="88"/>
      <c r="AM9" s="88"/>
      <c r="AN9" s="78"/>
      <c r="AO9" s="78"/>
    </row>
    <row r="10" spans="1:41" ht="12.75" hidden="1" customHeight="1">
      <c r="A10" s="96" t="s">
        <v>183</v>
      </c>
      <c r="B10" s="98" t="s">
        <v>188</v>
      </c>
      <c r="C10" s="98" t="s">
        <v>189</v>
      </c>
      <c r="D10" s="98" t="s">
        <v>190</v>
      </c>
      <c r="E10" s="98" t="s">
        <v>191</v>
      </c>
      <c r="F10" s="98" t="s">
        <v>192</v>
      </c>
      <c r="G10" s="98" t="s">
        <v>193</v>
      </c>
      <c r="H10" s="98" t="s">
        <v>194</v>
      </c>
      <c r="I10" s="98" t="s">
        <v>195</v>
      </c>
      <c r="J10" s="98" t="s">
        <v>6</v>
      </c>
      <c r="K10" s="98"/>
      <c r="L10" s="588"/>
      <c r="N10" s="88" t="s">
        <v>259</v>
      </c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 t="s">
        <v>209</v>
      </c>
      <c r="Z10" s="78"/>
      <c r="AA10" s="78"/>
      <c r="AC10" s="588"/>
      <c r="AD10" s="588"/>
      <c r="AE10" s="588"/>
      <c r="AF10" s="588"/>
      <c r="AG10" s="588"/>
      <c r="AH10" s="78"/>
      <c r="AI10" s="78"/>
      <c r="AJ10" s="78"/>
      <c r="AK10" s="78"/>
      <c r="AL10" s="78"/>
      <c r="AM10" s="78"/>
      <c r="AN10" s="78"/>
      <c r="AO10" s="78"/>
    </row>
    <row r="11" spans="1:41" ht="12.75" hidden="1" customHeight="1">
      <c r="A11" s="96" t="s">
        <v>181</v>
      </c>
      <c r="B11" s="220">
        <f>+superficies!D11</f>
        <v>0</v>
      </c>
      <c r="C11" s="220">
        <f>+superficies!D10</f>
        <v>7.0019999999999953</v>
      </c>
      <c r="D11" s="220">
        <f>+superficies!D9</f>
        <v>0</v>
      </c>
      <c r="E11" s="220">
        <f>+superficies!D8</f>
        <v>13.049999999999997</v>
      </c>
      <c r="F11" s="220">
        <f>+superficies!D15</f>
        <v>0</v>
      </c>
      <c r="G11" s="220">
        <f>+superficies!D14</f>
        <v>26.771999999999995</v>
      </c>
      <c r="H11" s="220">
        <f>+superficies!D13</f>
        <v>0</v>
      </c>
      <c r="I11" s="220">
        <f>+superficies!D12</f>
        <v>25.189999999999998</v>
      </c>
      <c r="J11" s="220">
        <f>+superficies!D18</f>
        <v>109.12499999999999</v>
      </c>
      <c r="K11" s="128"/>
      <c r="L11" s="588"/>
      <c r="N11" s="88" t="s">
        <v>183</v>
      </c>
      <c r="O11" s="89" t="s">
        <v>188</v>
      </c>
      <c r="P11" s="89" t="s">
        <v>189</v>
      </c>
      <c r="Q11" s="89" t="s">
        <v>190</v>
      </c>
      <c r="R11" s="89" t="s">
        <v>191</v>
      </c>
      <c r="S11" s="89" t="s">
        <v>192</v>
      </c>
      <c r="T11" s="89" t="s">
        <v>193</v>
      </c>
      <c r="U11" s="89" t="s">
        <v>194</v>
      </c>
      <c r="V11" s="89" t="s">
        <v>195</v>
      </c>
      <c r="W11" s="89" t="s">
        <v>6</v>
      </c>
      <c r="X11" s="78"/>
      <c r="Y11" s="88" t="s">
        <v>187</v>
      </c>
      <c r="Z11" s="88" t="s">
        <v>205</v>
      </c>
      <c r="AA11" s="88" t="s">
        <v>204</v>
      </c>
      <c r="AC11" s="588"/>
      <c r="AD11" s="588"/>
      <c r="AE11" s="588"/>
      <c r="AF11" s="588"/>
      <c r="AG11" s="588"/>
      <c r="AH11" s="78"/>
      <c r="AI11" s="78"/>
      <c r="AJ11" s="78"/>
      <c r="AK11" s="78"/>
      <c r="AL11" s="78"/>
      <c r="AM11" s="78"/>
      <c r="AN11" s="78"/>
      <c r="AO11" s="78"/>
    </row>
    <row r="12" spans="1:41" ht="12.75" hidden="1" customHeight="1">
      <c r="A12" s="96" t="s">
        <v>82</v>
      </c>
      <c r="B12" s="220">
        <f>+'Balance calefacción'!$D10</f>
        <v>0.65</v>
      </c>
      <c r="C12" s="220">
        <f>+'Balance calefacción'!$D10</f>
        <v>0.65</v>
      </c>
      <c r="D12" s="220">
        <f>+'Balance calefacción'!$D10</f>
        <v>0.65</v>
      </c>
      <c r="E12" s="220">
        <f>+'Balance calefacción'!$D10</f>
        <v>0.65</v>
      </c>
      <c r="F12" s="220">
        <f>+'Balance calefacción'!$D10</f>
        <v>0.65</v>
      </c>
      <c r="G12" s="220">
        <f>+'Balance calefacción'!$D10</f>
        <v>0.65</v>
      </c>
      <c r="H12" s="220">
        <f>+'Balance calefacción'!$D10</f>
        <v>0.65</v>
      </c>
      <c r="I12" s="220">
        <f>+'Balance calefacción'!$D10</f>
        <v>0.65</v>
      </c>
      <c r="J12" s="220">
        <f>+'Balance calefacción'!D12</f>
        <v>0.4</v>
      </c>
      <c r="K12" s="128"/>
      <c r="L12" s="588"/>
      <c r="N12" s="88" t="s">
        <v>187</v>
      </c>
      <c r="O12" s="78"/>
      <c r="P12" s="78"/>
      <c r="Q12" s="78"/>
      <c r="R12" s="78"/>
      <c r="S12" s="78"/>
      <c r="T12" s="78"/>
      <c r="U12" s="78"/>
      <c r="V12" s="78"/>
      <c r="W12" s="78" t="s">
        <v>2</v>
      </c>
      <c r="X12" s="78"/>
      <c r="Y12" s="88">
        <v>0</v>
      </c>
      <c r="Z12" s="219">
        <v>0.222</v>
      </c>
      <c r="AA12" s="219">
        <f t="shared" ref="AA12:AA23" si="1">+($S$4-$U$4)*Z12+$U$4</f>
        <v>22.363100000000003</v>
      </c>
      <c r="AC12" s="588"/>
      <c r="AD12" s="588"/>
      <c r="AE12" s="588"/>
      <c r="AF12" s="588"/>
      <c r="AG12" s="588"/>
      <c r="AH12" s="89"/>
      <c r="AI12" s="89"/>
      <c r="AJ12" s="89"/>
      <c r="AK12" s="78"/>
      <c r="AL12" s="88"/>
      <c r="AM12" s="88"/>
      <c r="AN12" s="88"/>
      <c r="AO12" s="78"/>
    </row>
    <row r="13" spans="1:41" ht="12.75" hidden="1" customHeight="1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588"/>
      <c r="N13" s="88">
        <v>0</v>
      </c>
      <c r="O13" s="218">
        <v>6</v>
      </c>
      <c r="P13" s="218">
        <v>4</v>
      </c>
      <c r="Q13" s="218">
        <v>5</v>
      </c>
      <c r="R13" s="218">
        <v>6</v>
      </c>
      <c r="S13" s="218">
        <v>13</v>
      </c>
      <c r="T13" s="218">
        <v>16</v>
      </c>
      <c r="U13" s="218">
        <v>12</v>
      </c>
      <c r="V13" s="218">
        <v>2</v>
      </c>
      <c r="W13" s="218">
        <v>3</v>
      </c>
      <c r="X13" s="78"/>
      <c r="Y13" s="88">
        <v>2</v>
      </c>
      <c r="Z13" s="218">
        <v>0.13900000000000001</v>
      </c>
      <c r="AA13" s="219">
        <f t="shared" si="1"/>
        <v>21.030950000000001</v>
      </c>
      <c r="AC13" s="588"/>
      <c r="AD13" s="588"/>
      <c r="AE13" s="588"/>
      <c r="AF13" s="588"/>
      <c r="AG13" s="588"/>
      <c r="AH13" s="78"/>
      <c r="AI13" s="78"/>
      <c r="AJ13" s="78"/>
      <c r="AK13" s="78"/>
      <c r="AL13" s="88"/>
      <c r="AM13" s="88"/>
      <c r="AN13" s="88"/>
      <c r="AO13" s="78"/>
    </row>
    <row r="14" spans="1:41" ht="12.75" hidden="1" customHeight="1">
      <c r="A14" s="96" t="s">
        <v>532</v>
      </c>
      <c r="B14" s="97"/>
      <c r="C14" s="97"/>
      <c r="D14" s="97"/>
      <c r="E14" s="97"/>
      <c r="F14" s="96" t="s">
        <v>91</v>
      </c>
      <c r="G14" s="97"/>
      <c r="H14" s="97"/>
      <c r="I14" s="97"/>
      <c r="J14" s="97"/>
      <c r="K14" s="97"/>
      <c r="L14" s="588"/>
      <c r="N14" s="88">
        <v>2</v>
      </c>
      <c r="O14" s="218">
        <v>5</v>
      </c>
      <c r="P14" s="218">
        <v>3</v>
      </c>
      <c r="Q14" s="218">
        <v>4</v>
      </c>
      <c r="R14" s="218">
        <v>5</v>
      </c>
      <c r="S14" s="218">
        <v>9</v>
      </c>
      <c r="T14" s="218">
        <v>12</v>
      </c>
      <c r="U14" s="218">
        <v>2</v>
      </c>
      <c r="V14" s="218">
        <v>2</v>
      </c>
      <c r="W14" s="218">
        <v>3</v>
      </c>
      <c r="X14" s="78"/>
      <c r="Y14" s="88">
        <v>4</v>
      </c>
      <c r="Z14" s="218">
        <v>5.6000000000000001E-2</v>
      </c>
      <c r="AA14" s="219">
        <f t="shared" si="1"/>
        <v>19.698800000000002</v>
      </c>
      <c r="AC14" s="588"/>
      <c r="AD14" s="588"/>
      <c r="AE14" s="588"/>
      <c r="AF14" s="588"/>
      <c r="AG14" s="588"/>
      <c r="AH14" s="78"/>
      <c r="AI14" s="78"/>
      <c r="AJ14" s="78"/>
      <c r="AK14" s="78"/>
      <c r="AL14" s="88"/>
      <c r="AM14" s="78"/>
      <c r="AN14" s="88"/>
      <c r="AO14" s="78"/>
    </row>
    <row r="15" spans="1:41" ht="12.75" hidden="1" customHeight="1">
      <c r="A15" s="96"/>
      <c r="B15" s="97"/>
      <c r="C15" s="97"/>
      <c r="D15" s="97"/>
      <c r="E15" s="97"/>
      <c r="F15" s="97"/>
      <c r="G15" s="97"/>
      <c r="H15" s="97"/>
      <c r="I15" s="97"/>
      <c r="J15" s="96" t="s">
        <v>0</v>
      </c>
      <c r="K15" s="97"/>
      <c r="L15" s="588"/>
      <c r="N15" s="88">
        <v>4</v>
      </c>
      <c r="O15" s="218">
        <v>4</v>
      </c>
      <c r="P15" s="218">
        <v>3</v>
      </c>
      <c r="Q15" s="218">
        <v>3</v>
      </c>
      <c r="R15" s="218">
        <v>4</v>
      </c>
      <c r="S15" s="218">
        <v>5</v>
      </c>
      <c r="T15" s="218">
        <v>8</v>
      </c>
      <c r="U15" s="218">
        <v>2</v>
      </c>
      <c r="V15" s="218">
        <v>2</v>
      </c>
      <c r="W15" s="218">
        <v>3</v>
      </c>
      <c r="X15" s="78"/>
      <c r="Y15" s="88">
        <v>6</v>
      </c>
      <c r="Z15" s="218">
        <v>0</v>
      </c>
      <c r="AA15" s="219">
        <f t="shared" si="1"/>
        <v>18.8</v>
      </c>
      <c r="AC15" s="588"/>
      <c r="AD15" s="588"/>
      <c r="AE15" s="588"/>
      <c r="AF15" s="588"/>
      <c r="AG15" s="588"/>
      <c r="AH15" s="78"/>
      <c r="AI15" s="78"/>
      <c r="AJ15" s="78"/>
      <c r="AK15" s="78"/>
      <c r="AL15" s="88"/>
      <c r="AM15" s="78"/>
      <c r="AN15" s="88"/>
      <c r="AO15" s="78"/>
    </row>
    <row r="16" spans="1:41" ht="12.75" hidden="1" customHeight="1">
      <c r="A16" s="96" t="s">
        <v>183</v>
      </c>
      <c r="B16" s="98" t="s">
        <v>188</v>
      </c>
      <c r="C16" s="98" t="s">
        <v>189</v>
      </c>
      <c r="D16" s="98" t="s">
        <v>190</v>
      </c>
      <c r="E16" s="98" t="s">
        <v>191</v>
      </c>
      <c r="F16" s="98" t="s">
        <v>192</v>
      </c>
      <c r="G16" s="98" t="s">
        <v>193</v>
      </c>
      <c r="H16" s="98" t="s">
        <v>194</v>
      </c>
      <c r="I16" s="98" t="s">
        <v>195</v>
      </c>
      <c r="J16" s="96" t="s">
        <v>396</v>
      </c>
      <c r="K16" s="98" t="s">
        <v>6</v>
      </c>
      <c r="L16" s="588"/>
      <c r="N16" s="88">
        <v>6</v>
      </c>
      <c r="O16" s="218">
        <v>4</v>
      </c>
      <c r="P16" s="218">
        <v>5</v>
      </c>
      <c r="Q16" s="218">
        <v>3</v>
      </c>
      <c r="R16" s="218">
        <v>3</v>
      </c>
      <c r="S16" s="218">
        <v>4</v>
      </c>
      <c r="T16" s="218">
        <v>6</v>
      </c>
      <c r="U16" s="218">
        <v>5</v>
      </c>
      <c r="V16" s="218">
        <v>2</v>
      </c>
      <c r="W16" s="218">
        <v>10</v>
      </c>
      <c r="X16" s="78"/>
      <c r="Y16" s="88">
        <v>8</v>
      </c>
      <c r="Z16" s="218">
        <v>0.111</v>
      </c>
      <c r="AA16" s="219">
        <f t="shared" si="1"/>
        <v>20.58155</v>
      </c>
      <c r="AC16" s="588"/>
      <c r="AD16" s="588"/>
      <c r="AE16" s="588"/>
      <c r="AF16" s="588"/>
      <c r="AG16" s="588"/>
      <c r="AH16" s="78"/>
      <c r="AI16" s="78"/>
      <c r="AJ16" s="78"/>
      <c r="AK16" s="78"/>
      <c r="AL16" s="88"/>
      <c r="AM16" s="78"/>
      <c r="AN16" s="88"/>
      <c r="AO16" s="78"/>
    </row>
    <row r="17" spans="1:41" ht="12.75" hidden="1" customHeight="1">
      <c r="A17" s="96" t="s">
        <v>187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 t="s">
        <v>2</v>
      </c>
      <c r="L17" s="588"/>
      <c r="N17" s="88">
        <v>8</v>
      </c>
      <c r="O17" s="218">
        <v>5</v>
      </c>
      <c r="P17" s="218">
        <v>6</v>
      </c>
      <c r="Q17" s="218">
        <v>6</v>
      </c>
      <c r="R17" s="218">
        <v>5</v>
      </c>
      <c r="S17" s="218">
        <v>3</v>
      </c>
      <c r="T17" s="218">
        <v>4</v>
      </c>
      <c r="U17" s="218">
        <v>5</v>
      </c>
      <c r="V17" s="218">
        <v>2</v>
      </c>
      <c r="W17" s="218">
        <v>10</v>
      </c>
      <c r="X17" s="78"/>
      <c r="Y17" s="88">
        <v>10</v>
      </c>
      <c r="Z17" s="218">
        <v>0.58299999999999996</v>
      </c>
      <c r="AA17" s="219">
        <f t="shared" si="1"/>
        <v>28.157150000000001</v>
      </c>
      <c r="AC17" s="588"/>
      <c r="AD17" s="588"/>
      <c r="AE17" s="588"/>
      <c r="AF17" s="588"/>
      <c r="AG17" s="588"/>
      <c r="AH17" s="78"/>
      <c r="AI17" s="78"/>
      <c r="AJ17" s="78"/>
      <c r="AK17" s="78"/>
      <c r="AL17" s="88"/>
      <c r="AM17" s="78"/>
      <c r="AN17" s="88"/>
      <c r="AO17" s="78"/>
    </row>
    <row r="18" spans="1:41" ht="12.75" hidden="1" customHeight="1">
      <c r="A18" s="96">
        <v>0</v>
      </c>
      <c r="B18" s="221">
        <f t="shared" ref="B18:B29" si="2">+B$11*O13*B$12</f>
        <v>0</v>
      </c>
      <c r="C18" s="221">
        <f t="shared" ref="C18:C29" si="3">+C$11*P13*C$12</f>
        <v>18.205199999999987</v>
      </c>
      <c r="D18" s="221">
        <f t="shared" ref="D18:D29" si="4">+D$11*Q13*D$12</f>
        <v>0</v>
      </c>
      <c r="E18" s="221">
        <f t="shared" ref="E18:E29" si="5">+E$11*R13*E$12</f>
        <v>50.894999999999989</v>
      </c>
      <c r="F18" s="221">
        <f t="shared" ref="F18:F29" si="6">+F$11*S13*F$12</f>
        <v>0</v>
      </c>
      <c r="G18" s="221">
        <f>+G$11*T13*G$12</f>
        <v>278.42879999999997</v>
      </c>
      <c r="H18" s="221">
        <f t="shared" ref="H18:H29" si="7">+H$11*U13*H$12</f>
        <v>0</v>
      </c>
      <c r="I18" s="221">
        <f t="shared" ref="I18:I29" si="8">+I$11*V13*I$12</f>
        <v>32.747</v>
      </c>
      <c r="J18" s="221">
        <f>SUM(B18:I18)</f>
        <v>380.27599999999995</v>
      </c>
      <c r="K18" s="221">
        <f t="shared" ref="K18:K29" si="9">+J$11*W13*J$12</f>
        <v>130.94999999999999</v>
      </c>
      <c r="L18" s="588"/>
      <c r="N18" s="88">
        <v>10</v>
      </c>
      <c r="O18" s="218">
        <v>5</v>
      </c>
      <c r="P18" s="218">
        <v>10</v>
      </c>
      <c r="Q18" s="218">
        <v>6</v>
      </c>
      <c r="R18" s="218">
        <v>5</v>
      </c>
      <c r="S18" s="218">
        <v>6</v>
      </c>
      <c r="T18" s="218">
        <v>6</v>
      </c>
      <c r="U18" s="218">
        <v>5</v>
      </c>
      <c r="V18" s="218">
        <v>2</v>
      </c>
      <c r="W18" s="218">
        <v>10</v>
      </c>
      <c r="X18" s="78"/>
      <c r="Y18" s="88">
        <v>12</v>
      </c>
      <c r="Z18" s="218">
        <v>0.86099999999999999</v>
      </c>
      <c r="AA18" s="219">
        <f t="shared" si="1"/>
        <v>32.619050000000001</v>
      </c>
      <c r="AC18" s="588"/>
      <c r="AD18" s="588"/>
      <c r="AE18" s="588"/>
      <c r="AF18" s="588"/>
      <c r="AG18" s="588"/>
      <c r="AH18" s="78"/>
      <c r="AI18" s="78"/>
      <c r="AJ18" s="78"/>
      <c r="AK18" s="78"/>
      <c r="AL18" s="88"/>
      <c r="AM18" s="78"/>
      <c r="AN18" s="88"/>
      <c r="AO18" s="78"/>
    </row>
    <row r="19" spans="1:41" ht="12.75" hidden="1" customHeight="1">
      <c r="A19" s="96">
        <v>2</v>
      </c>
      <c r="B19" s="221">
        <f t="shared" si="2"/>
        <v>0</v>
      </c>
      <c r="C19" s="221">
        <f t="shared" si="3"/>
        <v>13.653899999999991</v>
      </c>
      <c r="D19" s="221">
        <f t="shared" si="4"/>
        <v>0</v>
      </c>
      <c r="E19" s="221">
        <f t="shared" si="5"/>
        <v>42.412499999999994</v>
      </c>
      <c r="F19" s="221">
        <f t="shared" si="6"/>
        <v>0</v>
      </c>
      <c r="G19" s="221">
        <f t="shared" ref="G19:G29" si="10">+G$11*T14*G$12</f>
        <v>208.82159999999999</v>
      </c>
      <c r="H19" s="221">
        <f t="shared" si="7"/>
        <v>0</v>
      </c>
      <c r="I19" s="221">
        <f t="shared" si="8"/>
        <v>32.747</v>
      </c>
      <c r="J19" s="221">
        <f t="shared" ref="J19:J29" si="11">SUM(B19:I19)</f>
        <v>297.63499999999999</v>
      </c>
      <c r="K19" s="221">
        <f t="shared" si="9"/>
        <v>130.94999999999999</v>
      </c>
      <c r="L19" s="588"/>
      <c r="N19" s="88">
        <v>12</v>
      </c>
      <c r="O19" s="218">
        <v>13</v>
      </c>
      <c r="P19" s="218">
        <v>16</v>
      </c>
      <c r="Q19" s="218">
        <v>11</v>
      </c>
      <c r="R19" s="218">
        <v>5</v>
      </c>
      <c r="S19" s="218">
        <v>6</v>
      </c>
      <c r="T19" s="218">
        <v>6</v>
      </c>
      <c r="U19" s="218">
        <v>5</v>
      </c>
      <c r="V19" s="218">
        <v>2</v>
      </c>
      <c r="W19" s="218">
        <v>11</v>
      </c>
      <c r="X19" s="78"/>
      <c r="Y19" s="88">
        <v>14</v>
      </c>
      <c r="Z19" s="218">
        <v>1</v>
      </c>
      <c r="AA19" s="219">
        <f t="shared" si="1"/>
        <v>34.85</v>
      </c>
      <c r="AC19" s="588"/>
      <c r="AD19" s="588"/>
      <c r="AE19" s="588"/>
      <c r="AF19" s="588"/>
      <c r="AG19" s="588"/>
      <c r="AH19" s="78"/>
      <c r="AI19" s="78"/>
      <c r="AJ19" s="78"/>
      <c r="AK19" s="78"/>
      <c r="AL19" s="88"/>
      <c r="AM19" s="78"/>
      <c r="AN19" s="88"/>
      <c r="AO19" s="78"/>
    </row>
    <row r="20" spans="1:41" ht="12.75" hidden="1" customHeight="1">
      <c r="A20" s="96">
        <v>4</v>
      </c>
      <c r="B20" s="221">
        <f t="shared" si="2"/>
        <v>0</v>
      </c>
      <c r="C20" s="221">
        <f t="shared" si="3"/>
        <v>13.653899999999991</v>
      </c>
      <c r="D20" s="221">
        <f t="shared" si="4"/>
        <v>0</v>
      </c>
      <c r="E20" s="221">
        <f t="shared" si="5"/>
        <v>33.929999999999993</v>
      </c>
      <c r="F20" s="221">
        <f t="shared" si="6"/>
        <v>0</v>
      </c>
      <c r="G20" s="221">
        <f t="shared" si="10"/>
        <v>139.21439999999998</v>
      </c>
      <c r="H20" s="221">
        <f t="shared" si="7"/>
        <v>0</v>
      </c>
      <c r="I20" s="221">
        <f t="shared" si="8"/>
        <v>32.747</v>
      </c>
      <c r="J20" s="221">
        <f t="shared" si="11"/>
        <v>219.5453</v>
      </c>
      <c r="K20" s="221">
        <f t="shared" si="9"/>
        <v>130.94999999999999</v>
      </c>
      <c r="L20" s="588"/>
      <c r="N20" s="88">
        <v>14</v>
      </c>
      <c r="O20" s="218">
        <v>10</v>
      </c>
      <c r="P20" s="218">
        <v>16</v>
      </c>
      <c r="Q20" s="218">
        <v>12</v>
      </c>
      <c r="R20" s="218">
        <v>9</v>
      </c>
      <c r="S20" s="218">
        <v>7</v>
      </c>
      <c r="T20" s="218">
        <v>7</v>
      </c>
      <c r="U20" s="218">
        <v>5</v>
      </c>
      <c r="V20" s="218">
        <v>4</v>
      </c>
      <c r="W20" s="218">
        <v>17</v>
      </c>
      <c r="X20" s="78"/>
      <c r="Y20" s="88">
        <v>16</v>
      </c>
      <c r="Z20" s="218">
        <v>0.91700000000000004</v>
      </c>
      <c r="AA20" s="219">
        <f t="shared" si="1"/>
        <v>33.517850000000003</v>
      </c>
      <c r="AC20" s="588"/>
      <c r="AD20" s="588"/>
      <c r="AE20" s="588"/>
      <c r="AF20" s="588"/>
      <c r="AG20" s="588"/>
      <c r="AH20" s="78"/>
      <c r="AI20" s="78"/>
      <c r="AJ20" s="78"/>
      <c r="AK20" s="78"/>
      <c r="AL20" s="88"/>
      <c r="AM20" s="78"/>
      <c r="AN20" s="88"/>
      <c r="AO20" s="78"/>
    </row>
    <row r="21" spans="1:41" ht="12.75" hidden="1" customHeight="1">
      <c r="A21" s="96">
        <v>6</v>
      </c>
      <c r="B21" s="221">
        <f t="shared" si="2"/>
        <v>0</v>
      </c>
      <c r="C21" s="221">
        <f t="shared" si="3"/>
        <v>22.756499999999985</v>
      </c>
      <c r="D21" s="221">
        <f t="shared" si="4"/>
        <v>0</v>
      </c>
      <c r="E21" s="221">
        <f t="shared" si="5"/>
        <v>25.447499999999994</v>
      </c>
      <c r="F21" s="221">
        <f t="shared" si="6"/>
        <v>0</v>
      </c>
      <c r="G21" s="221">
        <f t="shared" si="10"/>
        <v>104.41079999999999</v>
      </c>
      <c r="H21" s="221">
        <f t="shared" si="7"/>
        <v>0</v>
      </c>
      <c r="I21" s="221">
        <f t="shared" si="8"/>
        <v>32.747</v>
      </c>
      <c r="J21" s="221">
        <f t="shared" si="11"/>
        <v>185.36179999999996</v>
      </c>
      <c r="K21" s="221">
        <f t="shared" si="9"/>
        <v>436.49999999999994</v>
      </c>
      <c r="L21" s="588"/>
      <c r="N21" s="88">
        <v>16</v>
      </c>
      <c r="O21" s="218">
        <v>9</v>
      </c>
      <c r="P21" s="218">
        <v>12</v>
      </c>
      <c r="Q21" s="218">
        <v>12</v>
      </c>
      <c r="R21" s="218">
        <v>12</v>
      </c>
      <c r="S21" s="218">
        <v>10</v>
      </c>
      <c r="T21" s="218">
        <v>9</v>
      </c>
      <c r="U21" s="218">
        <v>6</v>
      </c>
      <c r="V21" s="218">
        <v>5</v>
      </c>
      <c r="W21" s="218">
        <v>20</v>
      </c>
      <c r="X21" s="78"/>
      <c r="Y21" s="88">
        <v>18</v>
      </c>
      <c r="Z21" s="218">
        <v>0.69399999999999995</v>
      </c>
      <c r="AA21" s="219">
        <f t="shared" si="1"/>
        <v>29.938700000000001</v>
      </c>
      <c r="AC21" s="588"/>
      <c r="AD21" s="588"/>
      <c r="AE21" s="588"/>
      <c r="AF21" s="588"/>
      <c r="AG21" s="588"/>
      <c r="AH21" s="78"/>
      <c r="AI21" s="78"/>
      <c r="AJ21" s="78"/>
      <c r="AK21" s="78"/>
      <c r="AL21" s="88"/>
      <c r="AM21" s="78"/>
      <c r="AN21" s="88"/>
      <c r="AO21" s="78"/>
    </row>
    <row r="22" spans="1:41" ht="12.75" hidden="1" customHeight="1">
      <c r="A22" s="96">
        <v>8</v>
      </c>
      <c r="B22" s="221">
        <f t="shared" si="2"/>
        <v>0</v>
      </c>
      <c r="C22" s="221">
        <f t="shared" si="3"/>
        <v>27.307799999999983</v>
      </c>
      <c r="D22" s="221">
        <f t="shared" si="4"/>
        <v>0</v>
      </c>
      <c r="E22" s="221">
        <f t="shared" si="5"/>
        <v>42.412499999999994</v>
      </c>
      <c r="F22" s="221">
        <f t="shared" si="6"/>
        <v>0</v>
      </c>
      <c r="G22" s="221">
        <f t="shared" si="10"/>
        <v>69.607199999999992</v>
      </c>
      <c r="H22" s="221">
        <f t="shared" si="7"/>
        <v>0</v>
      </c>
      <c r="I22" s="221">
        <f t="shared" si="8"/>
        <v>32.747</v>
      </c>
      <c r="J22" s="221">
        <f t="shared" si="11"/>
        <v>172.0745</v>
      </c>
      <c r="K22" s="221">
        <f t="shared" si="9"/>
        <v>436.49999999999994</v>
      </c>
      <c r="L22" s="588"/>
      <c r="N22" s="88">
        <v>18</v>
      </c>
      <c r="O22" s="218">
        <v>9</v>
      </c>
      <c r="P22" s="218">
        <v>10</v>
      </c>
      <c r="Q22" s="218">
        <v>10</v>
      </c>
      <c r="R22" s="218">
        <v>12</v>
      </c>
      <c r="S22" s="218">
        <v>15</v>
      </c>
      <c r="T22" s="218">
        <v>14</v>
      </c>
      <c r="U22" s="218">
        <v>9</v>
      </c>
      <c r="V22" s="218">
        <v>5</v>
      </c>
      <c r="W22" s="218">
        <v>23</v>
      </c>
      <c r="X22" s="78"/>
      <c r="Y22" s="88">
        <v>20</v>
      </c>
      <c r="Z22" s="218">
        <v>0.44400000000000001</v>
      </c>
      <c r="AA22" s="219">
        <f t="shared" si="1"/>
        <v>25.926200000000001</v>
      </c>
      <c r="AC22" s="588"/>
      <c r="AD22" s="588"/>
      <c r="AE22" s="588"/>
      <c r="AF22" s="588"/>
      <c r="AG22" s="588"/>
      <c r="AH22" s="78"/>
      <c r="AI22" s="78"/>
      <c r="AJ22" s="78"/>
      <c r="AK22" s="78"/>
      <c r="AL22" s="88"/>
      <c r="AM22" s="78"/>
      <c r="AN22" s="88"/>
      <c r="AO22" s="78"/>
    </row>
    <row r="23" spans="1:41" ht="12.75" hidden="1" customHeight="1">
      <c r="A23" s="96">
        <v>10</v>
      </c>
      <c r="B23" s="221">
        <f t="shared" si="2"/>
        <v>0</v>
      </c>
      <c r="C23" s="221">
        <f t="shared" si="3"/>
        <v>45.51299999999997</v>
      </c>
      <c r="D23" s="221">
        <f t="shared" si="4"/>
        <v>0</v>
      </c>
      <c r="E23" s="221">
        <f t="shared" si="5"/>
        <v>42.412499999999994</v>
      </c>
      <c r="F23" s="221">
        <f t="shared" si="6"/>
        <v>0</v>
      </c>
      <c r="G23" s="221">
        <f t="shared" si="10"/>
        <v>104.41079999999999</v>
      </c>
      <c r="H23" s="221">
        <f t="shared" si="7"/>
        <v>0</v>
      </c>
      <c r="I23" s="221">
        <f t="shared" si="8"/>
        <v>32.747</v>
      </c>
      <c r="J23" s="221">
        <f t="shared" si="11"/>
        <v>225.08329999999995</v>
      </c>
      <c r="K23" s="221">
        <f t="shared" si="9"/>
        <v>436.49999999999994</v>
      </c>
      <c r="L23" s="588"/>
      <c r="N23" s="88">
        <v>20</v>
      </c>
      <c r="O23" s="218">
        <v>9</v>
      </c>
      <c r="P23" s="218">
        <v>10</v>
      </c>
      <c r="Q23" s="218">
        <v>9</v>
      </c>
      <c r="R23" s="218">
        <v>10</v>
      </c>
      <c r="S23" s="218">
        <v>16</v>
      </c>
      <c r="T23" s="218">
        <v>18</v>
      </c>
      <c r="U23" s="218">
        <v>14</v>
      </c>
      <c r="V23" s="218">
        <v>7</v>
      </c>
      <c r="W23" s="218">
        <v>22</v>
      </c>
      <c r="X23" s="78"/>
      <c r="Y23" s="88">
        <v>22</v>
      </c>
      <c r="Z23" s="218">
        <v>0.309</v>
      </c>
      <c r="AA23" s="219">
        <f t="shared" si="1"/>
        <v>23.759450000000001</v>
      </c>
      <c r="AC23" s="588"/>
      <c r="AD23" s="588"/>
      <c r="AE23" s="588"/>
      <c r="AF23" s="588"/>
      <c r="AG23" s="588"/>
      <c r="AH23" s="78"/>
      <c r="AI23" s="78"/>
      <c r="AJ23" s="78"/>
      <c r="AK23" s="78"/>
      <c r="AL23" s="88"/>
      <c r="AM23" s="78"/>
      <c r="AN23" s="88"/>
      <c r="AO23" s="78"/>
    </row>
    <row r="24" spans="1:41" ht="12.75" hidden="1" customHeight="1">
      <c r="A24" s="96">
        <v>12</v>
      </c>
      <c r="B24" s="221">
        <f t="shared" si="2"/>
        <v>0</v>
      </c>
      <c r="C24" s="221">
        <f t="shared" si="3"/>
        <v>72.820799999999949</v>
      </c>
      <c r="D24" s="221">
        <f t="shared" si="4"/>
        <v>0</v>
      </c>
      <c r="E24" s="221">
        <f t="shared" si="5"/>
        <v>42.412499999999994</v>
      </c>
      <c r="F24" s="221">
        <f t="shared" si="6"/>
        <v>0</v>
      </c>
      <c r="G24" s="221">
        <f t="shared" si="10"/>
        <v>104.41079999999999</v>
      </c>
      <c r="H24" s="221">
        <f t="shared" si="7"/>
        <v>0</v>
      </c>
      <c r="I24" s="221">
        <f t="shared" si="8"/>
        <v>32.747</v>
      </c>
      <c r="J24" s="221">
        <f t="shared" si="11"/>
        <v>252.39109999999994</v>
      </c>
      <c r="K24" s="221">
        <f t="shared" si="9"/>
        <v>480.14999999999992</v>
      </c>
      <c r="L24" s="588"/>
      <c r="N24" s="88">
        <v>22</v>
      </c>
      <c r="O24" s="218">
        <v>8</v>
      </c>
      <c r="P24" s="218">
        <v>9</v>
      </c>
      <c r="Q24" s="218">
        <v>8</v>
      </c>
      <c r="R24" s="218">
        <v>8</v>
      </c>
      <c r="S24" s="218">
        <v>15</v>
      </c>
      <c r="T24" s="218">
        <v>17</v>
      </c>
      <c r="U24" s="218">
        <v>15</v>
      </c>
      <c r="V24" s="218">
        <v>6</v>
      </c>
      <c r="W24" s="218">
        <v>21</v>
      </c>
      <c r="X24" s="78"/>
      <c r="Y24" s="78"/>
      <c r="Z24" s="78"/>
      <c r="AA24" s="78"/>
      <c r="AC24" s="588"/>
      <c r="AD24" s="588"/>
      <c r="AE24" s="588"/>
      <c r="AF24" s="588"/>
      <c r="AG24" s="588"/>
      <c r="AH24" s="78"/>
      <c r="AI24" s="78"/>
      <c r="AJ24" s="78"/>
      <c r="AK24" s="78"/>
      <c r="AL24" s="88"/>
      <c r="AM24" s="78"/>
      <c r="AN24" s="88"/>
      <c r="AO24" s="78"/>
    </row>
    <row r="25" spans="1:41" ht="12.75" hidden="1" customHeight="1">
      <c r="A25" s="96">
        <v>14</v>
      </c>
      <c r="B25" s="221">
        <f t="shared" si="2"/>
        <v>0</v>
      </c>
      <c r="C25" s="221">
        <f t="shared" si="3"/>
        <v>72.820799999999949</v>
      </c>
      <c r="D25" s="221">
        <f t="shared" si="4"/>
        <v>0</v>
      </c>
      <c r="E25" s="221">
        <f t="shared" si="5"/>
        <v>76.342499999999987</v>
      </c>
      <c r="F25" s="221">
        <f t="shared" si="6"/>
        <v>0</v>
      </c>
      <c r="G25" s="221">
        <f t="shared" si="10"/>
        <v>121.81259999999999</v>
      </c>
      <c r="H25" s="221">
        <f t="shared" si="7"/>
        <v>0</v>
      </c>
      <c r="I25" s="221">
        <f t="shared" si="8"/>
        <v>65.494</v>
      </c>
      <c r="J25" s="221">
        <f t="shared" si="11"/>
        <v>336.46989999999994</v>
      </c>
      <c r="K25" s="221">
        <f t="shared" si="9"/>
        <v>742.05</v>
      </c>
      <c r="L25" s="58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C25" s="588"/>
      <c r="AD25" s="588"/>
      <c r="AE25" s="588"/>
      <c r="AF25" s="588"/>
      <c r="AG25" s="588"/>
      <c r="AH25" s="78"/>
      <c r="AI25" s="78"/>
      <c r="AJ25" s="78"/>
      <c r="AK25" s="78"/>
      <c r="AL25" s="78"/>
      <c r="AM25" s="78"/>
      <c r="AN25" s="78"/>
      <c r="AO25" s="78"/>
    </row>
    <row r="26" spans="1:41" ht="12.75" hidden="1" customHeight="1">
      <c r="A26" s="96">
        <v>16</v>
      </c>
      <c r="B26" s="221">
        <f t="shared" si="2"/>
        <v>0</v>
      </c>
      <c r="C26" s="221">
        <f t="shared" si="3"/>
        <v>54.615599999999965</v>
      </c>
      <c r="D26" s="221">
        <f t="shared" si="4"/>
        <v>0</v>
      </c>
      <c r="E26" s="221">
        <f t="shared" si="5"/>
        <v>101.78999999999998</v>
      </c>
      <c r="F26" s="221">
        <f t="shared" si="6"/>
        <v>0</v>
      </c>
      <c r="G26" s="221">
        <f t="shared" si="10"/>
        <v>156.61619999999996</v>
      </c>
      <c r="H26" s="221">
        <f t="shared" si="7"/>
        <v>0</v>
      </c>
      <c r="I26" s="221">
        <f t="shared" si="8"/>
        <v>81.867499999999993</v>
      </c>
      <c r="J26" s="221">
        <f t="shared" si="11"/>
        <v>394.88929999999988</v>
      </c>
      <c r="K26" s="221">
        <f t="shared" si="9"/>
        <v>872.99999999999989</v>
      </c>
      <c r="L26" s="58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C26" s="588"/>
      <c r="AD26" s="588"/>
      <c r="AE26" s="588"/>
      <c r="AF26" s="588"/>
      <c r="AG26" s="588"/>
      <c r="AH26" s="78"/>
      <c r="AI26" s="78"/>
      <c r="AJ26" s="78"/>
      <c r="AK26" s="78"/>
      <c r="AL26" s="78"/>
      <c r="AM26" s="78"/>
      <c r="AN26" s="78"/>
      <c r="AO26" s="78"/>
    </row>
    <row r="27" spans="1:41" ht="12.75" hidden="1" customHeight="1">
      <c r="A27" s="96">
        <v>18</v>
      </c>
      <c r="B27" s="221">
        <f t="shared" si="2"/>
        <v>0</v>
      </c>
      <c r="C27" s="221">
        <f t="shared" si="3"/>
        <v>45.51299999999997</v>
      </c>
      <c r="D27" s="221">
        <f t="shared" si="4"/>
        <v>0</v>
      </c>
      <c r="E27" s="221">
        <f t="shared" si="5"/>
        <v>101.78999999999998</v>
      </c>
      <c r="F27" s="221">
        <f t="shared" si="6"/>
        <v>0</v>
      </c>
      <c r="G27" s="221">
        <f t="shared" si="10"/>
        <v>243.62519999999998</v>
      </c>
      <c r="H27" s="221">
        <f t="shared" si="7"/>
        <v>0</v>
      </c>
      <c r="I27" s="221">
        <f t="shared" si="8"/>
        <v>81.867499999999993</v>
      </c>
      <c r="J27" s="221">
        <f t="shared" si="11"/>
        <v>472.79569999999995</v>
      </c>
      <c r="K27" s="221">
        <f t="shared" si="9"/>
        <v>1003.9499999999998</v>
      </c>
      <c r="L27" s="588"/>
      <c r="W27" s="78"/>
      <c r="X27" s="78"/>
      <c r="Y27" s="78"/>
      <c r="Z27" s="78"/>
      <c r="AA27" s="78"/>
      <c r="AC27" s="588"/>
      <c r="AD27" s="588"/>
      <c r="AE27" s="588"/>
      <c r="AF27" s="588"/>
      <c r="AG27" s="588"/>
      <c r="AH27" s="78"/>
      <c r="AI27" s="78"/>
      <c r="AJ27" s="78"/>
      <c r="AK27" s="78"/>
      <c r="AL27" s="78"/>
      <c r="AM27" s="78"/>
      <c r="AN27" s="78"/>
      <c r="AO27" s="78"/>
    </row>
    <row r="28" spans="1:41" ht="12.75" hidden="1" customHeight="1">
      <c r="A28" s="96">
        <v>20</v>
      </c>
      <c r="B28" s="221">
        <f t="shared" si="2"/>
        <v>0</v>
      </c>
      <c r="C28" s="221">
        <f t="shared" si="3"/>
        <v>45.51299999999997</v>
      </c>
      <c r="D28" s="221">
        <f t="shared" si="4"/>
        <v>0</v>
      </c>
      <c r="E28" s="221">
        <f t="shared" si="5"/>
        <v>84.824999999999989</v>
      </c>
      <c r="F28" s="221">
        <f t="shared" si="6"/>
        <v>0</v>
      </c>
      <c r="G28" s="221">
        <f t="shared" si="10"/>
        <v>313.23239999999993</v>
      </c>
      <c r="H28" s="221">
        <f t="shared" si="7"/>
        <v>0</v>
      </c>
      <c r="I28" s="221">
        <f t="shared" si="8"/>
        <v>114.61449999999999</v>
      </c>
      <c r="J28" s="221">
        <f t="shared" si="11"/>
        <v>558.18489999999986</v>
      </c>
      <c r="K28" s="221">
        <f t="shared" si="9"/>
        <v>960.29999999999984</v>
      </c>
      <c r="L28" s="588"/>
      <c r="W28" s="78"/>
      <c r="X28" s="78"/>
      <c r="Y28" s="78"/>
      <c r="Z28" s="78"/>
      <c r="AA28" s="78"/>
      <c r="AC28" s="588"/>
      <c r="AD28" s="588"/>
      <c r="AE28" s="588"/>
      <c r="AF28" s="588"/>
      <c r="AG28" s="588"/>
      <c r="AH28" s="78"/>
      <c r="AI28" s="78"/>
      <c r="AJ28" s="78"/>
      <c r="AK28" s="78"/>
      <c r="AL28" s="78"/>
      <c r="AM28" s="78"/>
      <c r="AN28" s="78"/>
      <c r="AO28" s="78"/>
    </row>
    <row r="29" spans="1:41" ht="12.75" hidden="1" customHeight="1">
      <c r="A29" s="96">
        <v>22</v>
      </c>
      <c r="B29" s="221">
        <f t="shared" si="2"/>
        <v>0</v>
      </c>
      <c r="C29" s="221">
        <f t="shared" si="3"/>
        <v>40.961699999999972</v>
      </c>
      <c r="D29" s="221">
        <f t="shared" si="4"/>
        <v>0</v>
      </c>
      <c r="E29" s="221">
        <f t="shared" si="5"/>
        <v>67.859999999999985</v>
      </c>
      <c r="F29" s="221">
        <f t="shared" si="6"/>
        <v>0</v>
      </c>
      <c r="G29" s="221">
        <f t="shared" si="10"/>
        <v>295.83059999999995</v>
      </c>
      <c r="H29" s="221">
        <f t="shared" si="7"/>
        <v>0</v>
      </c>
      <c r="I29" s="221">
        <f t="shared" si="8"/>
        <v>98.241</v>
      </c>
      <c r="J29" s="221">
        <f t="shared" si="11"/>
        <v>502.8932999999999</v>
      </c>
      <c r="K29" s="221">
        <f t="shared" si="9"/>
        <v>916.64999999999986</v>
      </c>
      <c r="L29" s="588"/>
      <c r="W29" s="78"/>
      <c r="X29" s="78"/>
      <c r="Y29" s="78"/>
      <c r="Z29" s="78"/>
      <c r="AA29" s="78"/>
      <c r="AC29" s="588"/>
      <c r="AD29" s="588"/>
      <c r="AE29" s="588"/>
      <c r="AF29" s="588"/>
      <c r="AG29" s="588"/>
      <c r="AH29" s="78"/>
      <c r="AI29" s="78"/>
      <c r="AJ29" s="78"/>
      <c r="AK29" s="78"/>
      <c r="AL29" s="78"/>
      <c r="AM29" s="78"/>
      <c r="AN29" s="78"/>
      <c r="AO29" s="78"/>
    </row>
    <row r="30" spans="1:41" ht="12.75" hidden="1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588"/>
      <c r="W30" s="78"/>
      <c r="X30" s="78"/>
      <c r="Y30" s="78"/>
      <c r="Z30" s="78"/>
      <c r="AA30" s="78"/>
      <c r="AC30" s="588"/>
      <c r="AD30" s="588"/>
      <c r="AE30" s="588"/>
      <c r="AF30" s="588"/>
      <c r="AG30" s="588"/>
      <c r="AH30" s="78"/>
      <c r="AI30" s="78"/>
      <c r="AJ30" s="78"/>
      <c r="AK30" s="78"/>
      <c r="AL30" s="78"/>
      <c r="AM30" s="78"/>
      <c r="AN30" s="78"/>
      <c r="AO30" s="78"/>
    </row>
    <row r="31" spans="1:41" ht="12.75" hidden="1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588"/>
      <c r="W31" s="78"/>
      <c r="X31" s="78"/>
      <c r="Y31" s="78"/>
      <c r="Z31" s="78"/>
      <c r="AA31" s="78"/>
      <c r="AC31" s="588"/>
      <c r="AD31" s="588"/>
      <c r="AE31" s="588"/>
      <c r="AF31" s="588"/>
      <c r="AG31" s="588"/>
      <c r="AH31" s="89"/>
      <c r="AI31" s="89"/>
      <c r="AJ31" s="89"/>
      <c r="AK31" s="78"/>
      <c r="AL31" s="78"/>
      <c r="AM31" s="78"/>
      <c r="AN31" s="78"/>
      <c r="AO31" s="78"/>
    </row>
    <row r="32" spans="1:41" ht="14.25" hidden="1" customHeight="1">
      <c r="A32" s="96" t="s">
        <v>533</v>
      </c>
      <c r="B32" s="96"/>
      <c r="C32" s="96"/>
      <c r="D32" s="96"/>
      <c r="E32" s="96"/>
      <c r="F32" s="96" t="s">
        <v>24</v>
      </c>
      <c r="G32" s="96"/>
      <c r="H32" s="96"/>
      <c r="I32" s="96"/>
      <c r="J32" s="96"/>
      <c r="K32" s="96"/>
      <c r="L32" s="588"/>
      <c r="W32" s="78"/>
      <c r="X32" s="78"/>
      <c r="Y32" s="78"/>
      <c r="Z32" s="78"/>
      <c r="AA32" s="78"/>
      <c r="AC32" s="588"/>
      <c r="AD32" s="588"/>
      <c r="AE32" s="588"/>
      <c r="AF32" s="588"/>
      <c r="AG32" s="588"/>
      <c r="AH32" s="88"/>
      <c r="AI32" s="88"/>
      <c r="AJ32" s="88"/>
      <c r="AK32" s="78"/>
      <c r="AL32" s="78"/>
      <c r="AM32" s="78"/>
      <c r="AN32" s="78"/>
      <c r="AO32" s="78"/>
    </row>
    <row r="33" spans="1:41" ht="12.75" hidden="1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588"/>
      <c r="W33" s="78"/>
      <c r="X33" s="78"/>
      <c r="Y33" s="78"/>
      <c r="Z33" s="78"/>
      <c r="AA33" s="78"/>
      <c r="AC33" s="588"/>
      <c r="AD33" s="588"/>
      <c r="AE33" s="588"/>
      <c r="AF33" s="588"/>
      <c r="AG33" s="588"/>
      <c r="AH33" s="91"/>
      <c r="AI33" s="91"/>
      <c r="AJ33" s="91"/>
      <c r="AK33" s="78"/>
      <c r="AL33" s="78"/>
      <c r="AM33" s="78"/>
      <c r="AN33" s="78"/>
      <c r="AO33" s="78"/>
    </row>
    <row r="34" spans="1:41" ht="12.75" hidden="1" customHeight="1">
      <c r="A34" s="96" t="s">
        <v>183</v>
      </c>
      <c r="B34" s="98" t="s">
        <v>188</v>
      </c>
      <c r="C34" s="98" t="s">
        <v>189</v>
      </c>
      <c r="D34" s="98" t="s">
        <v>190</v>
      </c>
      <c r="E34" s="98" t="s">
        <v>191</v>
      </c>
      <c r="F34" s="98" t="s">
        <v>192</v>
      </c>
      <c r="G34" s="98" t="s">
        <v>193</v>
      </c>
      <c r="H34" s="98" t="s">
        <v>194</v>
      </c>
      <c r="I34" s="98" t="s">
        <v>195</v>
      </c>
      <c r="J34" s="98" t="s">
        <v>6</v>
      </c>
      <c r="K34" s="98"/>
      <c r="L34" s="588"/>
      <c r="W34" s="78"/>
      <c r="X34" s="78"/>
      <c r="Y34" s="78"/>
      <c r="Z34" s="78"/>
      <c r="AA34" s="78"/>
      <c r="AC34" s="588"/>
      <c r="AD34" s="588"/>
      <c r="AE34" s="588"/>
      <c r="AF34" s="588"/>
      <c r="AG34" s="588"/>
      <c r="AH34" s="91"/>
      <c r="AI34" s="91"/>
      <c r="AJ34" s="91"/>
      <c r="AK34" s="78"/>
      <c r="AL34" s="78"/>
      <c r="AM34" s="78"/>
      <c r="AN34" s="78"/>
      <c r="AO34" s="78"/>
    </row>
    <row r="35" spans="1:41" ht="12.75" hidden="1" customHeight="1">
      <c r="A35" s="96" t="s">
        <v>181</v>
      </c>
      <c r="B35" s="220">
        <f>+superficies!E11</f>
        <v>0</v>
      </c>
      <c r="C35" s="220">
        <f>+superficies!E10</f>
        <v>15</v>
      </c>
      <c r="D35" s="220">
        <f>+superficies!E9</f>
        <v>0</v>
      </c>
      <c r="E35" s="220">
        <f>+superficies!E8</f>
        <v>0</v>
      </c>
      <c r="F35" s="220">
        <f>+superficies!E15</f>
        <v>0</v>
      </c>
      <c r="G35" s="220">
        <f>+superficies!E14</f>
        <v>0</v>
      </c>
      <c r="H35" s="220">
        <f>+superficies!E13</f>
        <v>0</v>
      </c>
      <c r="I35" s="220">
        <f>+superficies!E12</f>
        <v>0</v>
      </c>
      <c r="J35" s="220">
        <f>+superficies!E18</f>
        <v>0</v>
      </c>
      <c r="K35" s="97"/>
      <c r="L35" s="588"/>
      <c r="W35" s="78"/>
      <c r="X35" s="78"/>
      <c r="Y35" s="78"/>
      <c r="Z35" s="78"/>
      <c r="AA35" s="78"/>
      <c r="AC35" s="588"/>
      <c r="AD35" s="588"/>
      <c r="AE35" s="588"/>
      <c r="AF35" s="588"/>
      <c r="AG35" s="588"/>
      <c r="AH35" s="91"/>
      <c r="AI35" s="91"/>
      <c r="AJ35" s="91"/>
      <c r="AK35" s="78"/>
      <c r="AL35" s="78"/>
      <c r="AM35" s="78"/>
      <c r="AN35" s="78"/>
      <c r="AO35" s="78"/>
    </row>
    <row r="36" spans="1:41" ht="12.75" hidden="1" customHeight="1">
      <c r="A36" s="96" t="s">
        <v>82</v>
      </c>
      <c r="B36" s="220">
        <v>0.65</v>
      </c>
      <c r="C36" s="220">
        <v>0.65</v>
      </c>
      <c r="D36" s="220">
        <v>0.65</v>
      </c>
      <c r="E36" s="220">
        <v>0.65</v>
      </c>
      <c r="F36" s="220">
        <v>0.65</v>
      </c>
      <c r="G36" s="220">
        <v>0.65</v>
      </c>
      <c r="H36" s="220">
        <v>0.65</v>
      </c>
      <c r="I36" s="220">
        <v>0.65</v>
      </c>
      <c r="J36" s="220">
        <f>+'Balance calefacción'!D13</f>
        <v>0.34</v>
      </c>
      <c r="K36" s="97"/>
      <c r="L36" s="588"/>
      <c r="W36" s="78"/>
      <c r="X36" s="78"/>
      <c r="Y36" s="78"/>
      <c r="Z36" s="78"/>
      <c r="AA36" s="78"/>
      <c r="AC36" s="588"/>
      <c r="AD36" s="588"/>
      <c r="AE36" s="588"/>
      <c r="AF36" s="588"/>
      <c r="AG36" s="588"/>
      <c r="AH36" s="91"/>
      <c r="AI36" s="91"/>
      <c r="AJ36" s="91"/>
      <c r="AK36" s="78"/>
      <c r="AL36" s="78"/>
      <c r="AM36" s="78"/>
      <c r="AN36" s="78"/>
      <c r="AO36" s="78"/>
    </row>
    <row r="37" spans="1:41" ht="12.75" hidden="1" customHeight="1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588"/>
      <c r="W37" s="78"/>
      <c r="X37" s="78"/>
      <c r="Y37" s="78"/>
      <c r="Z37" s="78"/>
      <c r="AA37" s="78"/>
      <c r="AC37" s="588"/>
      <c r="AD37" s="588"/>
      <c r="AE37" s="588"/>
      <c r="AF37" s="588"/>
      <c r="AG37" s="588"/>
      <c r="AH37" s="91"/>
      <c r="AI37" s="91"/>
      <c r="AJ37" s="91"/>
      <c r="AK37" s="78"/>
      <c r="AL37" s="78"/>
      <c r="AM37" s="78"/>
      <c r="AN37" s="78"/>
      <c r="AO37" s="78"/>
    </row>
    <row r="38" spans="1:41" ht="12.75" hidden="1" customHeight="1">
      <c r="A38" s="96" t="s">
        <v>534</v>
      </c>
      <c r="B38" s="97"/>
      <c r="C38" s="97"/>
      <c r="D38" s="97"/>
      <c r="E38" s="97"/>
      <c r="F38" s="96" t="s">
        <v>24</v>
      </c>
      <c r="G38" s="97"/>
      <c r="H38" s="97"/>
      <c r="I38" s="97"/>
      <c r="J38" s="97"/>
      <c r="K38" s="97"/>
      <c r="L38" s="588"/>
      <c r="W38" s="78"/>
      <c r="X38" s="78"/>
      <c r="Y38" s="78"/>
      <c r="Z38" s="78"/>
      <c r="AA38" s="78"/>
      <c r="AC38" s="588"/>
      <c r="AD38" s="588"/>
      <c r="AE38" s="588"/>
      <c r="AF38" s="588"/>
      <c r="AG38" s="588"/>
      <c r="AH38" s="91"/>
      <c r="AI38" s="91"/>
      <c r="AJ38" s="91"/>
      <c r="AK38" s="78"/>
      <c r="AL38" s="78"/>
      <c r="AM38" s="78"/>
      <c r="AN38" s="78"/>
      <c r="AO38" s="78"/>
    </row>
    <row r="39" spans="1:41" ht="12.75" hidden="1" customHeight="1">
      <c r="A39" s="96"/>
      <c r="B39" s="97"/>
      <c r="C39" s="97"/>
      <c r="D39" s="97"/>
      <c r="E39" s="97"/>
      <c r="F39" s="97"/>
      <c r="G39" s="97"/>
      <c r="H39" s="97"/>
      <c r="I39" s="97"/>
      <c r="J39" s="96" t="s">
        <v>0</v>
      </c>
      <c r="K39" s="97"/>
      <c r="L39" s="588"/>
      <c r="W39" s="78"/>
      <c r="X39" s="78"/>
      <c r="Y39" s="78"/>
      <c r="Z39" s="78"/>
      <c r="AA39" s="78"/>
      <c r="AC39" s="588"/>
      <c r="AD39" s="588"/>
      <c r="AE39" s="588"/>
      <c r="AF39" s="588"/>
      <c r="AG39" s="588"/>
      <c r="AH39" s="91"/>
      <c r="AI39" s="91"/>
      <c r="AJ39" s="91"/>
      <c r="AK39" s="78"/>
      <c r="AL39" s="78"/>
      <c r="AM39" s="78"/>
      <c r="AN39" s="78"/>
      <c r="AO39" s="78"/>
    </row>
    <row r="40" spans="1:41" ht="12.75" hidden="1" customHeight="1">
      <c r="A40" s="96" t="s">
        <v>183</v>
      </c>
      <c r="B40" s="98" t="s">
        <v>188</v>
      </c>
      <c r="C40" s="98" t="s">
        <v>189</v>
      </c>
      <c r="D40" s="98" t="s">
        <v>190</v>
      </c>
      <c r="E40" s="98" t="s">
        <v>191</v>
      </c>
      <c r="F40" s="98" t="s">
        <v>192</v>
      </c>
      <c r="G40" s="98" t="s">
        <v>193</v>
      </c>
      <c r="H40" s="98" t="s">
        <v>194</v>
      </c>
      <c r="I40" s="98" t="s">
        <v>195</v>
      </c>
      <c r="J40" s="96" t="s">
        <v>397</v>
      </c>
      <c r="K40" s="98" t="s">
        <v>6</v>
      </c>
      <c r="L40" s="588"/>
      <c r="W40" s="78"/>
      <c r="X40" s="78"/>
      <c r="Y40" s="78"/>
      <c r="Z40" s="78"/>
      <c r="AA40" s="78"/>
      <c r="AC40" s="588"/>
      <c r="AD40" s="588"/>
      <c r="AE40" s="588"/>
      <c r="AF40" s="588"/>
      <c r="AG40" s="588"/>
      <c r="AH40" s="91"/>
      <c r="AI40" s="91"/>
      <c r="AJ40" s="91"/>
      <c r="AK40" s="78"/>
      <c r="AL40" s="78"/>
      <c r="AM40" s="78"/>
      <c r="AN40" s="78"/>
      <c r="AO40" s="78"/>
    </row>
    <row r="41" spans="1:41" ht="12.75" hidden="1" customHeight="1">
      <c r="A41" s="96" t="s">
        <v>187</v>
      </c>
      <c r="B41" s="97"/>
      <c r="C41" s="97"/>
      <c r="D41" s="97"/>
      <c r="E41" s="97"/>
      <c r="F41" s="97"/>
      <c r="G41" s="97"/>
      <c r="H41" s="97"/>
      <c r="I41" s="97"/>
      <c r="J41" s="97"/>
      <c r="K41" s="97" t="s">
        <v>2</v>
      </c>
      <c r="L41" s="588"/>
      <c r="W41" s="78"/>
      <c r="X41" s="78"/>
      <c r="Y41" s="78"/>
      <c r="Z41" s="78"/>
      <c r="AA41" s="78"/>
      <c r="AC41" s="588"/>
      <c r="AD41" s="588"/>
      <c r="AE41" s="588"/>
      <c r="AF41" s="588"/>
      <c r="AG41" s="588"/>
      <c r="AH41" s="91"/>
      <c r="AI41" s="91"/>
      <c r="AJ41" s="91"/>
      <c r="AK41" s="78"/>
      <c r="AL41" s="78"/>
      <c r="AM41" s="78"/>
      <c r="AN41" s="78"/>
      <c r="AO41" s="78"/>
    </row>
    <row r="42" spans="1:41" ht="12.75" hidden="1" customHeight="1">
      <c r="A42" s="96">
        <v>0</v>
      </c>
      <c r="B42" s="221">
        <f t="shared" ref="B42:B53" si="12">+B$35*O13*B$36</f>
        <v>0</v>
      </c>
      <c r="C42" s="221">
        <f t="shared" ref="C42:C53" si="13">+C$35*P13*C$36</f>
        <v>39</v>
      </c>
      <c r="D42" s="221">
        <f t="shared" ref="D42:D53" si="14">+D$35*Q13*D$36</f>
        <v>0</v>
      </c>
      <c r="E42" s="221">
        <f t="shared" ref="E42:E53" si="15">+E$35*R13*E$36</f>
        <v>0</v>
      </c>
      <c r="F42" s="221">
        <f t="shared" ref="F42:F53" si="16">+F$35*S13*F$36</f>
        <v>0</v>
      </c>
      <c r="G42" s="221">
        <f t="shared" ref="G42:G53" si="17">+G$35*T13*G$36</f>
        <v>0</v>
      </c>
      <c r="H42" s="221">
        <f t="shared" ref="H42:H53" si="18">+H$35*U13*H$36</f>
        <v>0</v>
      </c>
      <c r="I42" s="221">
        <f t="shared" ref="I42:I53" si="19">+I$35*V13*I$36</f>
        <v>0</v>
      </c>
      <c r="J42" s="221">
        <f t="shared" ref="J42:J53" si="20">SUM(B42:I42)</f>
        <v>39</v>
      </c>
      <c r="K42" s="221">
        <f t="shared" ref="K42:K53" si="21">+J$35*W13*J$36</f>
        <v>0</v>
      </c>
      <c r="L42" s="588"/>
      <c r="W42" s="78"/>
      <c r="X42" s="78"/>
      <c r="Y42" s="78"/>
      <c r="Z42" s="78"/>
      <c r="AA42" s="78"/>
      <c r="AC42" s="588"/>
      <c r="AD42" s="588"/>
      <c r="AE42" s="588"/>
      <c r="AF42" s="588"/>
      <c r="AG42" s="588"/>
      <c r="AH42" s="91"/>
      <c r="AI42" s="91"/>
      <c r="AJ42" s="91"/>
      <c r="AK42" s="78"/>
      <c r="AL42" s="78"/>
      <c r="AM42" s="78"/>
      <c r="AN42" s="78"/>
      <c r="AO42" s="78"/>
    </row>
    <row r="43" spans="1:41" ht="12.75" hidden="1" customHeight="1">
      <c r="A43" s="96">
        <v>2</v>
      </c>
      <c r="B43" s="221">
        <f t="shared" si="12"/>
        <v>0</v>
      </c>
      <c r="C43" s="221">
        <f t="shared" si="13"/>
        <v>29.25</v>
      </c>
      <c r="D43" s="221">
        <f t="shared" si="14"/>
        <v>0</v>
      </c>
      <c r="E43" s="221">
        <f t="shared" si="15"/>
        <v>0</v>
      </c>
      <c r="F43" s="221">
        <f t="shared" si="16"/>
        <v>0</v>
      </c>
      <c r="G43" s="221">
        <f t="shared" si="17"/>
        <v>0</v>
      </c>
      <c r="H43" s="221">
        <f t="shared" si="18"/>
        <v>0</v>
      </c>
      <c r="I43" s="221">
        <f t="shared" si="19"/>
        <v>0</v>
      </c>
      <c r="J43" s="221">
        <f t="shared" si="20"/>
        <v>29.25</v>
      </c>
      <c r="K43" s="221">
        <f t="shared" si="21"/>
        <v>0</v>
      </c>
      <c r="L43" s="588"/>
      <c r="W43" s="78"/>
      <c r="X43" s="78"/>
      <c r="Y43" s="78"/>
      <c r="Z43" s="78"/>
      <c r="AA43" s="78"/>
      <c r="AC43" s="588"/>
      <c r="AD43" s="588"/>
      <c r="AE43" s="588"/>
      <c r="AF43" s="588"/>
      <c r="AG43" s="588"/>
      <c r="AH43" s="91"/>
      <c r="AI43" s="91"/>
      <c r="AJ43" s="91"/>
      <c r="AK43" s="78"/>
      <c r="AL43" s="78"/>
      <c r="AM43" s="78"/>
      <c r="AN43" s="78"/>
      <c r="AO43" s="78"/>
    </row>
    <row r="44" spans="1:41" ht="12.75" hidden="1" customHeight="1">
      <c r="A44" s="96">
        <v>4</v>
      </c>
      <c r="B44" s="221">
        <f t="shared" si="12"/>
        <v>0</v>
      </c>
      <c r="C44" s="221">
        <f t="shared" si="13"/>
        <v>29.25</v>
      </c>
      <c r="D44" s="221">
        <f t="shared" si="14"/>
        <v>0</v>
      </c>
      <c r="E44" s="221">
        <f t="shared" si="15"/>
        <v>0</v>
      </c>
      <c r="F44" s="221">
        <f t="shared" si="16"/>
        <v>0</v>
      </c>
      <c r="G44" s="221">
        <f t="shared" si="17"/>
        <v>0</v>
      </c>
      <c r="H44" s="221">
        <f t="shared" si="18"/>
        <v>0</v>
      </c>
      <c r="I44" s="221">
        <f t="shared" si="19"/>
        <v>0</v>
      </c>
      <c r="J44" s="221">
        <f t="shared" si="20"/>
        <v>29.25</v>
      </c>
      <c r="K44" s="221">
        <f t="shared" si="21"/>
        <v>0</v>
      </c>
      <c r="L44" s="588"/>
      <c r="W44" s="78"/>
      <c r="X44" s="78"/>
      <c r="Y44" s="78"/>
      <c r="Z44" s="78"/>
      <c r="AA44" s="78"/>
      <c r="AC44" s="588"/>
      <c r="AD44" s="588"/>
      <c r="AE44" s="588"/>
      <c r="AF44" s="588"/>
      <c r="AG44" s="588"/>
      <c r="AH44" s="91"/>
      <c r="AI44" s="91"/>
      <c r="AJ44" s="91"/>
      <c r="AK44" s="78"/>
      <c r="AL44" s="78"/>
      <c r="AM44" s="78"/>
      <c r="AN44" s="78"/>
      <c r="AO44" s="78"/>
    </row>
    <row r="45" spans="1:41" ht="12.75" hidden="1" customHeight="1">
      <c r="A45" s="96">
        <v>6</v>
      </c>
      <c r="B45" s="221">
        <f t="shared" si="12"/>
        <v>0</v>
      </c>
      <c r="C45" s="221">
        <f t="shared" si="13"/>
        <v>48.75</v>
      </c>
      <c r="D45" s="221">
        <f t="shared" si="14"/>
        <v>0</v>
      </c>
      <c r="E45" s="221">
        <f t="shared" si="15"/>
        <v>0</v>
      </c>
      <c r="F45" s="221">
        <f t="shared" si="16"/>
        <v>0</v>
      </c>
      <c r="G45" s="221">
        <f t="shared" si="17"/>
        <v>0</v>
      </c>
      <c r="H45" s="221">
        <f t="shared" si="18"/>
        <v>0</v>
      </c>
      <c r="I45" s="221">
        <f t="shared" si="19"/>
        <v>0</v>
      </c>
      <c r="J45" s="221">
        <f t="shared" si="20"/>
        <v>48.75</v>
      </c>
      <c r="K45" s="221">
        <f t="shared" si="21"/>
        <v>0</v>
      </c>
      <c r="L45" s="588"/>
      <c r="W45" s="78"/>
      <c r="X45" s="78"/>
      <c r="Y45" s="78"/>
      <c r="Z45" s="78"/>
      <c r="AA45" s="78"/>
      <c r="AC45" s="588"/>
      <c r="AD45" s="588"/>
      <c r="AE45" s="588"/>
      <c r="AF45" s="588"/>
      <c r="AG45" s="588"/>
      <c r="AH45" s="78"/>
      <c r="AI45" s="78"/>
      <c r="AJ45" s="78"/>
      <c r="AK45" s="78"/>
      <c r="AL45" s="78"/>
      <c r="AM45" s="78"/>
      <c r="AN45" s="78"/>
      <c r="AO45" s="78"/>
    </row>
    <row r="46" spans="1:41" ht="12.75" hidden="1" customHeight="1">
      <c r="A46" s="96">
        <v>8</v>
      </c>
      <c r="B46" s="221">
        <f t="shared" si="12"/>
        <v>0</v>
      </c>
      <c r="C46" s="221">
        <f t="shared" si="13"/>
        <v>58.5</v>
      </c>
      <c r="D46" s="221">
        <f t="shared" si="14"/>
        <v>0</v>
      </c>
      <c r="E46" s="221">
        <f t="shared" si="15"/>
        <v>0</v>
      </c>
      <c r="F46" s="221">
        <f t="shared" si="16"/>
        <v>0</v>
      </c>
      <c r="G46" s="221">
        <f t="shared" si="17"/>
        <v>0</v>
      </c>
      <c r="H46" s="221">
        <f t="shared" si="18"/>
        <v>0</v>
      </c>
      <c r="I46" s="221">
        <f t="shared" si="19"/>
        <v>0</v>
      </c>
      <c r="J46" s="221">
        <f t="shared" si="20"/>
        <v>58.5</v>
      </c>
      <c r="K46" s="221">
        <f t="shared" si="21"/>
        <v>0</v>
      </c>
      <c r="L46" s="588"/>
      <c r="W46" s="78"/>
      <c r="X46" s="78"/>
      <c r="Y46" s="78"/>
      <c r="Z46" s="78"/>
      <c r="AA46" s="78"/>
      <c r="AC46" s="588"/>
      <c r="AD46" s="588"/>
      <c r="AE46" s="588"/>
      <c r="AF46" s="588"/>
      <c r="AG46" s="588"/>
      <c r="AH46" s="78"/>
      <c r="AI46" s="78"/>
      <c r="AJ46" s="78"/>
      <c r="AK46" s="78"/>
      <c r="AL46" s="78"/>
      <c r="AM46" s="78"/>
      <c r="AN46" s="78"/>
      <c r="AO46" s="78"/>
    </row>
    <row r="47" spans="1:41" ht="12.75" hidden="1" customHeight="1">
      <c r="A47" s="96">
        <v>10</v>
      </c>
      <c r="B47" s="221">
        <f t="shared" si="12"/>
        <v>0</v>
      </c>
      <c r="C47" s="221">
        <f t="shared" si="13"/>
        <v>97.5</v>
      </c>
      <c r="D47" s="221">
        <f t="shared" si="14"/>
        <v>0</v>
      </c>
      <c r="E47" s="221">
        <f t="shared" si="15"/>
        <v>0</v>
      </c>
      <c r="F47" s="221">
        <f t="shared" si="16"/>
        <v>0</v>
      </c>
      <c r="G47" s="221">
        <f t="shared" si="17"/>
        <v>0</v>
      </c>
      <c r="H47" s="221">
        <f t="shared" si="18"/>
        <v>0</v>
      </c>
      <c r="I47" s="221">
        <f t="shared" si="19"/>
        <v>0</v>
      </c>
      <c r="J47" s="221">
        <f t="shared" si="20"/>
        <v>97.5</v>
      </c>
      <c r="K47" s="221">
        <f t="shared" si="21"/>
        <v>0</v>
      </c>
      <c r="L47" s="588"/>
      <c r="W47" s="78"/>
      <c r="X47" s="78"/>
      <c r="Y47" s="78"/>
      <c r="Z47" s="78"/>
      <c r="AA47" s="78"/>
      <c r="AC47" s="588"/>
      <c r="AD47" s="588"/>
      <c r="AE47" s="588"/>
      <c r="AF47" s="588"/>
      <c r="AG47" s="588"/>
      <c r="AH47" s="78"/>
      <c r="AI47" s="78"/>
      <c r="AJ47" s="78"/>
      <c r="AK47" s="78"/>
      <c r="AL47" s="78"/>
      <c r="AM47" s="78"/>
      <c r="AN47" s="78"/>
      <c r="AO47" s="78"/>
    </row>
    <row r="48" spans="1:41" ht="12.75" hidden="1" customHeight="1">
      <c r="A48" s="96">
        <v>12</v>
      </c>
      <c r="B48" s="221">
        <f t="shared" si="12"/>
        <v>0</v>
      </c>
      <c r="C48" s="221">
        <f t="shared" si="13"/>
        <v>156</v>
      </c>
      <c r="D48" s="221">
        <f t="shared" si="14"/>
        <v>0</v>
      </c>
      <c r="E48" s="221">
        <f t="shared" si="15"/>
        <v>0</v>
      </c>
      <c r="F48" s="221">
        <f t="shared" si="16"/>
        <v>0</v>
      </c>
      <c r="G48" s="221">
        <f t="shared" si="17"/>
        <v>0</v>
      </c>
      <c r="H48" s="221">
        <f t="shared" si="18"/>
        <v>0</v>
      </c>
      <c r="I48" s="221">
        <f t="shared" si="19"/>
        <v>0</v>
      </c>
      <c r="J48" s="221">
        <f t="shared" si="20"/>
        <v>156</v>
      </c>
      <c r="K48" s="221">
        <f t="shared" si="21"/>
        <v>0</v>
      </c>
      <c r="L48" s="588"/>
      <c r="W48" s="78"/>
      <c r="X48" s="78"/>
      <c r="Y48" s="78"/>
      <c r="Z48" s="78"/>
      <c r="AA48" s="78"/>
      <c r="AC48" s="588"/>
      <c r="AD48" s="588"/>
      <c r="AE48" s="588"/>
      <c r="AF48" s="588"/>
      <c r="AG48" s="588"/>
      <c r="AH48" s="78"/>
      <c r="AI48" s="78"/>
      <c r="AJ48" s="78"/>
      <c r="AK48" s="78"/>
      <c r="AL48" s="78"/>
      <c r="AM48" s="78"/>
      <c r="AN48" s="78"/>
      <c r="AO48" s="78"/>
    </row>
    <row r="49" spans="1:41" ht="12.75" hidden="1" customHeight="1">
      <c r="A49" s="96">
        <v>14</v>
      </c>
      <c r="B49" s="221">
        <f t="shared" si="12"/>
        <v>0</v>
      </c>
      <c r="C49" s="221">
        <f t="shared" si="13"/>
        <v>156</v>
      </c>
      <c r="D49" s="221">
        <f t="shared" si="14"/>
        <v>0</v>
      </c>
      <c r="E49" s="221">
        <f t="shared" si="15"/>
        <v>0</v>
      </c>
      <c r="F49" s="221">
        <f t="shared" si="16"/>
        <v>0</v>
      </c>
      <c r="G49" s="221">
        <f t="shared" si="17"/>
        <v>0</v>
      </c>
      <c r="H49" s="221">
        <f t="shared" si="18"/>
        <v>0</v>
      </c>
      <c r="I49" s="221">
        <f t="shared" si="19"/>
        <v>0</v>
      </c>
      <c r="J49" s="221">
        <f t="shared" si="20"/>
        <v>156</v>
      </c>
      <c r="K49" s="221">
        <f t="shared" si="21"/>
        <v>0</v>
      </c>
      <c r="L49" s="588"/>
      <c r="W49" s="78"/>
      <c r="X49" s="78"/>
      <c r="Y49" s="78"/>
      <c r="Z49" s="78"/>
      <c r="AA49" s="78"/>
      <c r="AC49" s="588"/>
      <c r="AD49" s="588"/>
      <c r="AE49" s="588"/>
      <c r="AF49" s="588"/>
      <c r="AG49" s="588"/>
      <c r="AH49" s="78"/>
      <c r="AI49" s="78"/>
      <c r="AJ49" s="78"/>
      <c r="AK49" s="78"/>
      <c r="AL49" s="78"/>
      <c r="AM49" s="78"/>
      <c r="AN49" s="78"/>
      <c r="AO49" s="78"/>
    </row>
    <row r="50" spans="1:41" ht="12.75" hidden="1" customHeight="1">
      <c r="A50" s="96">
        <v>16</v>
      </c>
      <c r="B50" s="221">
        <f t="shared" si="12"/>
        <v>0</v>
      </c>
      <c r="C50" s="221">
        <f t="shared" si="13"/>
        <v>117</v>
      </c>
      <c r="D50" s="221">
        <f t="shared" si="14"/>
        <v>0</v>
      </c>
      <c r="E50" s="221">
        <f t="shared" si="15"/>
        <v>0</v>
      </c>
      <c r="F50" s="221">
        <f t="shared" si="16"/>
        <v>0</v>
      </c>
      <c r="G50" s="221">
        <f t="shared" si="17"/>
        <v>0</v>
      </c>
      <c r="H50" s="221">
        <f t="shared" si="18"/>
        <v>0</v>
      </c>
      <c r="I50" s="221">
        <f t="shared" si="19"/>
        <v>0</v>
      </c>
      <c r="J50" s="221">
        <f t="shared" si="20"/>
        <v>117</v>
      </c>
      <c r="K50" s="221">
        <f t="shared" si="21"/>
        <v>0</v>
      </c>
      <c r="L50" s="588"/>
      <c r="W50" s="78"/>
      <c r="X50" s="78"/>
      <c r="Y50" s="78"/>
      <c r="Z50" s="78"/>
      <c r="AA50" s="78"/>
      <c r="AC50" s="588"/>
      <c r="AD50" s="588"/>
      <c r="AE50" s="588"/>
      <c r="AF50" s="588"/>
      <c r="AG50" s="588"/>
      <c r="AH50" s="78"/>
      <c r="AI50" s="78"/>
      <c r="AJ50" s="78"/>
      <c r="AK50" s="78"/>
      <c r="AL50" s="78"/>
      <c r="AM50" s="78"/>
      <c r="AN50" s="78"/>
      <c r="AO50" s="78"/>
    </row>
    <row r="51" spans="1:41" ht="12.75" hidden="1" customHeight="1">
      <c r="A51" s="96">
        <v>18</v>
      </c>
      <c r="B51" s="221">
        <f t="shared" si="12"/>
        <v>0</v>
      </c>
      <c r="C51" s="221">
        <f t="shared" si="13"/>
        <v>97.5</v>
      </c>
      <c r="D51" s="221">
        <f t="shared" si="14"/>
        <v>0</v>
      </c>
      <c r="E51" s="221">
        <f t="shared" si="15"/>
        <v>0</v>
      </c>
      <c r="F51" s="221">
        <f t="shared" si="16"/>
        <v>0</v>
      </c>
      <c r="G51" s="221">
        <f t="shared" si="17"/>
        <v>0</v>
      </c>
      <c r="H51" s="221">
        <f t="shared" si="18"/>
        <v>0</v>
      </c>
      <c r="I51" s="221">
        <f t="shared" si="19"/>
        <v>0</v>
      </c>
      <c r="J51" s="221">
        <f t="shared" si="20"/>
        <v>97.5</v>
      </c>
      <c r="K51" s="221">
        <f t="shared" si="21"/>
        <v>0</v>
      </c>
      <c r="L51" s="588"/>
      <c r="W51" s="78"/>
      <c r="X51" s="78"/>
      <c r="Y51" s="78"/>
      <c r="Z51" s="78"/>
      <c r="AA51" s="78"/>
      <c r="AC51" s="588"/>
      <c r="AD51" s="588"/>
      <c r="AE51" s="588"/>
      <c r="AF51" s="588"/>
      <c r="AG51" s="588"/>
      <c r="AH51" s="78"/>
      <c r="AI51" s="78"/>
      <c r="AJ51" s="78"/>
      <c r="AK51" s="78"/>
      <c r="AL51" s="78"/>
      <c r="AM51" s="78"/>
      <c r="AN51" s="78"/>
      <c r="AO51" s="78"/>
    </row>
    <row r="52" spans="1:41" ht="12.75" hidden="1" customHeight="1">
      <c r="A52" s="96">
        <v>20</v>
      </c>
      <c r="B52" s="221">
        <f t="shared" si="12"/>
        <v>0</v>
      </c>
      <c r="C52" s="221">
        <f t="shared" si="13"/>
        <v>97.5</v>
      </c>
      <c r="D52" s="221">
        <f t="shared" si="14"/>
        <v>0</v>
      </c>
      <c r="E52" s="221">
        <f t="shared" si="15"/>
        <v>0</v>
      </c>
      <c r="F52" s="221">
        <f t="shared" si="16"/>
        <v>0</v>
      </c>
      <c r="G52" s="221">
        <f t="shared" si="17"/>
        <v>0</v>
      </c>
      <c r="H52" s="221">
        <f t="shared" si="18"/>
        <v>0</v>
      </c>
      <c r="I52" s="221">
        <f t="shared" si="19"/>
        <v>0</v>
      </c>
      <c r="J52" s="221">
        <f t="shared" si="20"/>
        <v>97.5</v>
      </c>
      <c r="K52" s="221">
        <f t="shared" si="21"/>
        <v>0</v>
      </c>
      <c r="L52" s="588"/>
      <c r="W52" s="78"/>
      <c r="X52" s="78"/>
      <c r="Y52" s="78"/>
      <c r="Z52" s="78"/>
      <c r="AA52" s="78"/>
      <c r="AC52" s="588"/>
      <c r="AD52" s="588"/>
      <c r="AE52" s="588"/>
      <c r="AF52" s="588"/>
      <c r="AG52" s="588"/>
      <c r="AH52" s="78"/>
      <c r="AI52" s="78"/>
      <c r="AJ52" s="78"/>
      <c r="AK52" s="78"/>
      <c r="AL52" s="78"/>
      <c r="AM52" s="78"/>
      <c r="AN52" s="78"/>
      <c r="AO52" s="78"/>
    </row>
    <row r="53" spans="1:41" ht="12.75" hidden="1" customHeight="1">
      <c r="A53" s="97">
        <v>22</v>
      </c>
      <c r="B53" s="221">
        <f t="shared" si="12"/>
        <v>0</v>
      </c>
      <c r="C53" s="221">
        <f t="shared" si="13"/>
        <v>87.75</v>
      </c>
      <c r="D53" s="221">
        <f t="shared" si="14"/>
        <v>0</v>
      </c>
      <c r="E53" s="221">
        <f t="shared" si="15"/>
        <v>0</v>
      </c>
      <c r="F53" s="221">
        <f t="shared" si="16"/>
        <v>0</v>
      </c>
      <c r="G53" s="221">
        <f t="shared" si="17"/>
        <v>0</v>
      </c>
      <c r="H53" s="221">
        <f t="shared" si="18"/>
        <v>0</v>
      </c>
      <c r="I53" s="221">
        <f t="shared" si="19"/>
        <v>0</v>
      </c>
      <c r="J53" s="221">
        <f t="shared" si="20"/>
        <v>87.75</v>
      </c>
      <c r="K53" s="221">
        <f t="shared" si="21"/>
        <v>0</v>
      </c>
      <c r="L53" s="588"/>
      <c r="W53" s="78"/>
      <c r="X53" s="78"/>
      <c r="Y53" s="78"/>
      <c r="Z53" s="78"/>
      <c r="AA53" s="78"/>
      <c r="AC53" s="588"/>
      <c r="AD53" s="588"/>
      <c r="AE53" s="588"/>
      <c r="AF53" s="588"/>
      <c r="AG53" s="588"/>
      <c r="AH53" s="78"/>
      <c r="AI53" s="78"/>
      <c r="AJ53" s="78"/>
      <c r="AK53" s="78"/>
      <c r="AL53" s="78"/>
      <c r="AM53" s="78"/>
      <c r="AN53" s="78"/>
      <c r="AO53" s="78"/>
    </row>
    <row r="54" spans="1:41" ht="12.75" hidden="1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588"/>
      <c r="W54" s="78"/>
      <c r="X54" s="78"/>
      <c r="Y54" s="78"/>
      <c r="Z54" s="78"/>
      <c r="AA54" s="78"/>
      <c r="AC54" s="588"/>
      <c r="AD54" s="588"/>
      <c r="AE54" s="588"/>
      <c r="AF54" s="588"/>
      <c r="AG54" s="588"/>
      <c r="AH54" s="78"/>
      <c r="AI54" s="78"/>
      <c r="AJ54" s="78"/>
      <c r="AK54" s="78"/>
      <c r="AL54" s="78"/>
      <c r="AM54" s="78"/>
      <c r="AN54" s="78"/>
      <c r="AO54" s="78"/>
    </row>
    <row r="55" spans="1:41" ht="12.75" hidden="1" customHeight="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588"/>
      <c r="W55" s="78"/>
      <c r="X55" s="78"/>
      <c r="Y55" s="78"/>
      <c r="Z55" s="78"/>
      <c r="AA55" s="78"/>
      <c r="AC55" s="588"/>
      <c r="AD55" s="588"/>
      <c r="AE55" s="588"/>
      <c r="AF55" s="588"/>
      <c r="AG55" s="588"/>
      <c r="AH55" s="78"/>
      <c r="AI55" s="78"/>
      <c r="AJ55" s="78"/>
      <c r="AK55" s="78"/>
      <c r="AL55" s="78"/>
      <c r="AM55" s="78"/>
      <c r="AN55" s="78"/>
      <c r="AO55" s="78"/>
    </row>
    <row r="56" spans="1:41" ht="12.75" hidden="1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588"/>
      <c r="W56" s="78"/>
      <c r="X56" s="78"/>
      <c r="Y56" s="78"/>
      <c r="Z56" s="78"/>
      <c r="AA56" s="78"/>
      <c r="AC56" s="588"/>
      <c r="AD56" s="588"/>
      <c r="AE56" s="588"/>
      <c r="AF56" s="588"/>
      <c r="AG56" s="588"/>
      <c r="AH56" s="78"/>
      <c r="AI56" s="78"/>
      <c r="AJ56" s="78"/>
      <c r="AK56" s="78"/>
      <c r="AL56" s="78"/>
      <c r="AM56" s="78"/>
      <c r="AN56" s="78"/>
      <c r="AO56" s="78"/>
    </row>
    <row r="57" spans="1:41" ht="12.75" hidden="1" customHeight="1">
      <c r="A57" s="97" t="s">
        <v>197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588"/>
      <c r="W57" s="78"/>
      <c r="X57" s="78"/>
      <c r="Y57" s="78"/>
      <c r="Z57" s="78"/>
      <c r="AA57" s="78"/>
      <c r="AC57" s="588"/>
      <c r="AD57" s="588"/>
      <c r="AE57" s="588"/>
      <c r="AF57" s="588"/>
      <c r="AG57" s="588"/>
      <c r="AH57" s="78"/>
      <c r="AI57" s="78"/>
      <c r="AJ57" s="78"/>
      <c r="AK57" s="78"/>
      <c r="AL57" s="78"/>
      <c r="AM57" s="78"/>
      <c r="AN57" s="78"/>
      <c r="AO57" s="78"/>
    </row>
    <row r="58" spans="1:41" ht="12.75" hidden="1" customHeight="1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588"/>
      <c r="W58" s="78"/>
      <c r="X58" s="78"/>
      <c r="Y58" s="78"/>
      <c r="Z58" s="78"/>
      <c r="AA58" s="78"/>
      <c r="AC58" s="588"/>
      <c r="AD58" s="588"/>
      <c r="AE58" s="588"/>
      <c r="AF58" s="588"/>
      <c r="AG58" s="588"/>
      <c r="AH58" s="78"/>
      <c r="AI58" s="78"/>
      <c r="AJ58" s="78"/>
      <c r="AK58" s="78"/>
      <c r="AL58" s="78"/>
      <c r="AM58" s="78"/>
      <c r="AN58" s="78"/>
      <c r="AO58" s="78"/>
    </row>
    <row r="59" spans="1:41" ht="14.25" hidden="1" customHeight="1">
      <c r="A59" s="96" t="s">
        <v>530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588"/>
      <c r="W59" s="78"/>
      <c r="X59" s="78"/>
      <c r="Y59" s="78"/>
      <c r="Z59" s="78"/>
      <c r="AA59" s="78"/>
      <c r="AC59" s="588"/>
      <c r="AD59" s="588"/>
      <c r="AE59" s="588"/>
      <c r="AF59" s="588"/>
      <c r="AG59" s="588"/>
      <c r="AH59" s="78"/>
      <c r="AI59" s="78"/>
      <c r="AJ59" s="78"/>
      <c r="AK59" s="78"/>
      <c r="AL59" s="78"/>
      <c r="AM59" s="78"/>
      <c r="AN59" s="78"/>
      <c r="AO59" s="78"/>
    </row>
    <row r="60" spans="1:41" ht="12.75" hidden="1" customHeight="1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588"/>
      <c r="W60" s="78"/>
      <c r="X60" s="78"/>
      <c r="Y60" s="78"/>
      <c r="Z60" s="78"/>
      <c r="AA60" s="78"/>
      <c r="AC60" s="588"/>
      <c r="AD60" s="588"/>
      <c r="AE60" s="588"/>
      <c r="AF60" s="588"/>
      <c r="AG60" s="588"/>
    </row>
    <row r="61" spans="1:41" ht="12.75" hidden="1" customHeight="1">
      <c r="A61" s="97" t="s">
        <v>183</v>
      </c>
      <c r="B61" s="97" t="s">
        <v>188</v>
      </c>
      <c r="C61" s="97" t="s">
        <v>189</v>
      </c>
      <c r="D61" s="97" t="s">
        <v>190</v>
      </c>
      <c r="E61" s="97" t="s">
        <v>191</v>
      </c>
      <c r="F61" s="97" t="s">
        <v>192</v>
      </c>
      <c r="G61" s="97" t="s">
        <v>193</v>
      </c>
      <c r="H61" s="97" t="s">
        <v>194</v>
      </c>
      <c r="I61" s="97" t="s">
        <v>195</v>
      </c>
      <c r="J61" s="97"/>
      <c r="K61" s="97"/>
      <c r="L61" s="588"/>
      <c r="N61" s="88" t="s">
        <v>222</v>
      </c>
      <c r="O61" s="8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C61" s="588"/>
      <c r="AD61" s="588"/>
      <c r="AE61" s="588"/>
      <c r="AF61" s="588"/>
      <c r="AG61" s="588"/>
    </row>
    <row r="62" spans="1:41" ht="12.75" hidden="1" customHeight="1">
      <c r="A62" s="97" t="s">
        <v>181</v>
      </c>
      <c r="B62" s="97">
        <f>+superficies!G11</f>
        <v>0</v>
      </c>
      <c r="C62" s="97">
        <f>+superficies!G10</f>
        <v>2.88</v>
      </c>
      <c r="D62" s="97">
        <f>+superficies!G9</f>
        <v>0</v>
      </c>
      <c r="E62" s="97">
        <f>+superficies!G8</f>
        <v>18</v>
      </c>
      <c r="F62" s="97">
        <f>+superficies!G15</f>
        <v>0</v>
      </c>
      <c r="G62" s="97">
        <f>+superficies!G14</f>
        <v>0</v>
      </c>
      <c r="H62" s="97">
        <f>+superficies!G13</f>
        <v>0</v>
      </c>
      <c r="I62" s="97">
        <f>+superficies!G12</f>
        <v>3.36</v>
      </c>
      <c r="J62" s="97"/>
      <c r="K62" s="97"/>
      <c r="L62" s="588"/>
      <c r="N62" s="88" t="s">
        <v>201</v>
      </c>
      <c r="O62" s="78"/>
      <c r="P62" s="78">
        <v>1.1627000000000001</v>
      </c>
      <c r="Q62" s="78" t="s">
        <v>202</v>
      </c>
      <c r="R62" s="78"/>
      <c r="S62" s="78"/>
      <c r="T62" s="78"/>
      <c r="U62" s="78"/>
      <c r="V62" s="78"/>
      <c r="W62" s="78"/>
      <c r="X62" s="78"/>
      <c r="Y62" s="78"/>
      <c r="Z62" s="78"/>
      <c r="AA62" s="78"/>
      <c r="AC62" s="588"/>
      <c r="AD62" s="588"/>
      <c r="AE62" s="588"/>
      <c r="AF62" s="588"/>
      <c r="AG62" s="588"/>
    </row>
    <row r="63" spans="1:41" ht="12.75" hidden="1" customHeight="1">
      <c r="A63" s="97" t="s">
        <v>82</v>
      </c>
      <c r="B63" s="97">
        <f>+'Balance calefacción'!D14</f>
        <v>4.3</v>
      </c>
      <c r="C63" s="97">
        <f>+'Balance calefacción'!Y19</f>
        <v>4.3</v>
      </c>
      <c r="D63" s="97">
        <f>+'Balance calefacción'!Y18</f>
        <v>4.3</v>
      </c>
      <c r="E63" s="97">
        <f>+'Balance calefacción'!Y18</f>
        <v>4.3</v>
      </c>
      <c r="F63" s="97">
        <f>+'Balance calefacción'!Y18</f>
        <v>4.3</v>
      </c>
      <c r="G63" s="97">
        <f>+'Balance calefacción'!Y19</f>
        <v>4.3</v>
      </c>
      <c r="H63" s="97">
        <f>+'Balance calefacción'!D14</f>
        <v>4.3</v>
      </c>
      <c r="I63" s="97">
        <f>+'Balance calefacción'!D14</f>
        <v>4.3</v>
      </c>
      <c r="J63" s="97"/>
      <c r="K63" s="97"/>
      <c r="L63" s="58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C63" s="588"/>
      <c r="AD63" s="588"/>
      <c r="AE63" s="588"/>
      <c r="AF63" s="588"/>
      <c r="AG63" s="588"/>
    </row>
    <row r="64" spans="1:41" ht="12.75" hidden="1" customHeight="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588"/>
      <c r="N64" s="88" t="s">
        <v>183</v>
      </c>
      <c r="O64" s="89" t="s">
        <v>188</v>
      </c>
      <c r="P64" s="89" t="s">
        <v>189</v>
      </c>
      <c r="Q64" s="89" t="s">
        <v>190</v>
      </c>
      <c r="R64" s="89" t="s">
        <v>191</v>
      </c>
      <c r="S64" s="89" t="s">
        <v>192</v>
      </c>
      <c r="T64" s="89" t="s">
        <v>193</v>
      </c>
      <c r="U64" s="89" t="s">
        <v>194</v>
      </c>
      <c r="V64" s="89" t="s">
        <v>195</v>
      </c>
      <c r="W64" s="89" t="s">
        <v>6</v>
      </c>
      <c r="X64" s="78"/>
      <c r="Y64" s="78"/>
      <c r="Z64" s="78"/>
      <c r="AA64" s="78"/>
      <c r="AC64" s="588"/>
      <c r="AD64" s="588"/>
      <c r="AE64" s="588"/>
      <c r="AF64" s="588"/>
      <c r="AG64" s="588"/>
    </row>
    <row r="65" spans="1:33" ht="12.75" hidden="1" customHeight="1">
      <c r="A65" s="96" t="s">
        <v>203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588"/>
      <c r="N65" s="88" t="s">
        <v>187</v>
      </c>
      <c r="O65" s="88"/>
      <c r="P65" s="88"/>
      <c r="Q65" s="88"/>
      <c r="R65" s="88"/>
      <c r="S65" s="88"/>
      <c r="T65" s="88"/>
      <c r="U65" s="88"/>
      <c r="V65" s="88"/>
      <c r="W65" s="88"/>
      <c r="X65" s="78"/>
      <c r="Y65" s="78"/>
      <c r="Z65" s="78"/>
      <c r="AA65" s="78"/>
      <c r="AC65" s="588"/>
      <c r="AD65" s="588"/>
      <c r="AE65" s="588"/>
      <c r="AF65" s="588"/>
      <c r="AG65" s="588"/>
    </row>
    <row r="66" spans="1:33" ht="12.75" hidden="1" customHeight="1">
      <c r="A66" s="97"/>
      <c r="B66" s="97"/>
      <c r="C66" s="97"/>
      <c r="D66" s="97"/>
      <c r="E66" s="97"/>
      <c r="F66" s="97"/>
      <c r="G66" s="97" t="s">
        <v>2</v>
      </c>
      <c r="H66" s="97"/>
      <c r="I66" s="97"/>
      <c r="J66" s="97"/>
      <c r="K66" s="97"/>
      <c r="L66" s="588"/>
      <c r="N66" s="78">
        <v>0</v>
      </c>
      <c r="O66" s="222">
        <v>0</v>
      </c>
      <c r="P66" s="222">
        <v>0</v>
      </c>
      <c r="Q66" s="222">
        <v>0</v>
      </c>
      <c r="R66" s="222">
        <v>0</v>
      </c>
      <c r="S66" s="222">
        <v>0</v>
      </c>
      <c r="T66" s="222">
        <v>0</v>
      </c>
      <c r="U66" s="222">
        <v>0</v>
      </c>
      <c r="V66" s="222">
        <v>0</v>
      </c>
      <c r="W66" s="222">
        <v>0</v>
      </c>
      <c r="X66" s="78"/>
      <c r="Y66" s="78"/>
      <c r="Z66" s="78"/>
      <c r="AA66" s="78"/>
      <c r="AC66" s="588"/>
      <c r="AD66" s="588"/>
      <c r="AE66" s="588"/>
      <c r="AF66" s="588"/>
      <c r="AG66" s="588"/>
    </row>
    <row r="67" spans="1:33" ht="12.75" hidden="1" customHeight="1">
      <c r="A67" s="97" t="s">
        <v>183</v>
      </c>
      <c r="B67" s="97" t="s">
        <v>188</v>
      </c>
      <c r="C67" s="97" t="s">
        <v>189</v>
      </c>
      <c r="D67" s="97" t="s">
        <v>190</v>
      </c>
      <c r="E67" s="97" t="s">
        <v>191</v>
      </c>
      <c r="F67" s="97" t="s">
        <v>192</v>
      </c>
      <c r="G67" s="97" t="s">
        <v>193</v>
      </c>
      <c r="H67" s="97" t="s">
        <v>194</v>
      </c>
      <c r="I67" s="97" t="s">
        <v>195</v>
      </c>
      <c r="J67" s="97" t="s">
        <v>0</v>
      </c>
      <c r="K67" s="97"/>
      <c r="L67" s="588"/>
      <c r="N67" s="78">
        <v>2</v>
      </c>
      <c r="O67" s="222">
        <v>0</v>
      </c>
      <c r="P67" s="222">
        <v>0</v>
      </c>
      <c r="Q67" s="222">
        <v>0</v>
      </c>
      <c r="R67" s="222">
        <v>0</v>
      </c>
      <c r="S67" s="222">
        <v>0</v>
      </c>
      <c r="T67" s="222">
        <v>0</v>
      </c>
      <c r="U67" s="222">
        <v>0</v>
      </c>
      <c r="V67" s="222">
        <v>0</v>
      </c>
      <c r="W67" s="222">
        <v>0</v>
      </c>
      <c r="X67" s="78"/>
      <c r="Y67" s="78"/>
      <c r="Z67" s="78"/>
      <c r="AA67" s="78"/>
      <c r="AC67" s="588"/>
      <c r="AD67" s="588"/>
      <c r="AE67" s="588"/>
      <c r="AF67" s="588"/>
      <c r="AG67" s="588"/>
    </row>
    <row r="68" spans="1:33" ht="12.75" hidden="1" customHeight="1">
      <c r="A68" s="97" t="s">
        <v>187</v>
      </c>
      <c r="B68" s="97"/>
      <c r="C68" s="97"/>
      <c r="D68" s="97"/>
      <c r="E68" s="97"/>
      <c r="F68" s="97"/>
      <c r="G68" s="97"/>
      <c r="H68" s="97"/>
      <c r="I68" s="97"/>
      <c r="J68" s="97" t="s">
        <v>2</v>
      </c>
      <c r="K68" s="97"/>
      <c r="L68" s="588"/>
      <c r="N68" s="78">
        <v>4</v>
      </c>
      <c r="O68" s="222">
        <v>0</v>
      </c>
      <c r="P68" s="222">
        <v>0</v>
      </c>
      <c r="Q68" s="222">
        <v>0</v>
      </c>
      <c r="R68" s="222">
        <v>0</v>
      </c>
      <c r="S68" s="222">
        <v>0</v>
      </c>
      <c r="T68" s="222">
        <v>0</v>
      </c>
      <c r="U68" s="222">
        <v>0</v>
      </c>
      <c r="V68" s="222">
        <v>0</v>
      </c>
      <c r="W68" s="222">
        <v>0</v>
      </c>
      <c r="X68" s="78"/>
      <c r="Y68" s="78"/>
      <c r="Z68" s="78"/>
      <c r="AA68" s="78"/>
      <c r="AC68" s="588"/>
      <c r="AD68" s="588"/>
      <c r="AE68" s="588"/>
      <c r="AF68" s="588"/>
      <c r="AG68" s="588"/>
    </row>
    <row r="69" spans="1:33" ht="12.75" hidden="1" customHeight="1">
      <c r="A69" s="97">
        <v>0</v>
      </c>
      <c r="B69" s="97">
        <f t="shared" ref="B69:I80" si="22">+B$62*B$63*($AA12-$G$275)</f>
        <v>0</v>
      </c>
      <c r="C69" s="97">
        <f t="shared" si="22"/>
        <v>-32.655369599999958</v>
      </c>
      <c r="D69" s="97">
        <f t="shared" si="22"/>
        <v>0</v>
      </c>
      <c r="E69" s="97">
        <f t="shared" si="22"/>
        <v>-204.09605999999977</v>
      </c>
      <c r="F69" s="97">
        <f t="shared" si="22"/>
        <v>0</v>
      </c>
      <c r="G69" s="97">
        <f t="shared" si="22"/>
        <v>0</v>
      </c>
      <c r="H69" s="97">
        <f t="shared" si="22"/>
        <v>0</v>
      </c>
      <c r="I69" s="97">
        <f t="shared" si="22"/>
        <v>-38.097931199999955</v>
      </c>
      <c r="J69" s="97">
        <f>SUM(B69:I69)</f>
        <v>-274.84936079999966</v>
      </c>
      <c r="K69" s="97"/>
      <c r="L69" s="588"/>
      <c r="N69" s="78">
        <v>6</v>
      </c>
      <c r="O69" s="222">
        <v>359.27430000000004</v>
      </c>
      <c r="P69" s="222">
        <v>279.048</v>
      </c>
      <c r="Q69" s="222">
        <v>0</v>
      </c>
      <c r="R69" s="222">
        <v>0</v>
      </c>
      <c r="S69" s="222">
        <v>0</v>
      </c>
      <c r="T69" s="222">
        <v>0</v>
      </c>
      <c r="U69" s="222">
        <v>0</v>
      </c>
      <c r="V69" s="222">
        <v>90.690600000000003</v>
      </c>
      <c r="W69" s="222">
        <v>80.226300000000009</v>
      </c>
      <c r="X69" s="78"/>
      <c r="Y69" s="78"/>
      <c r="Z69" s="78"/>
      <c r="AA69" s="78"/>
      <c r="AC69" s="588"/>
      <c r="AD69" s="588"/>
      <c r="AE69" s="588"/>
      <c r="AF69" s="588"/>
      <c r="AG69" s="588"/>
    </row>
    <row r="70" spans="1:33" ht="12.75" hidden="1" customHeight="1">
      <c r="A70" s="97">
        <v>2</v>
      </c>
      <c r="B70" s="97">
        <f t="shared" si="22"/>
        <v>0</v>
      </c>
      <c r="C70" s="97">
        <f t="shared" si="22"/>
        <v>-49.152715199999989</v>
      </c>
      <c r="D70" s="97">
        <f t="shared" si="22"/>
        <v>0</v>
      </c>
      <c r="E70" s="97">
        <f t="shared" si="22"/>
        <v>-307.2044699999999</v>
      </c>
      <c r="F70" s="97">
        <f t="shared" si="22"/>
        <v>0</v>
      </c>
      <c r="G70" s="97">
        <f t="shared" si="22"/>
        <v>0</v>
      </c>
      <c r="H70" s="97">
        <f t="shared" si="22"/>
        <v>0</v>
      </c>
      <c r="I70" s="97">
        <f t="shared" si="22"/>
        <v>-57.344834399999982</v>
      </c>
      <c r="J70" s="97">
        <f t="shared" ref="J70:J80" si="23">SUM(B70:I70)</f>
        <v>-413.70201959999986</v>
      </c>
      <c r="K70" s="97"/>
      <c r="L70" s="588"/>
      <c r="N70" s="78">
        <v>8</v>
      </c>
      <c r="O70" s="222">
        <v>381.36560000000003</v>
      </c>
      <c r="P70" s="222">
        <v>515.0761</v>
      </c>
      <c r="Q70" s="222">
        <v>433.68710000000004</v>
      </c>
      <c r="R70" s="222">
        <v>93.016000000000005</v>
      </c>
      <c r="S70" s="222">
        <v>29.067499999999999</v>
      </c>
      <c r="T70" s="222">
        <v>37.206400000000002</v>
      </c>
      <c r="U70" s="222">
        <v>37.206400000000002</v>
      </c>
      <c r="V70" s="222">
        <v>44.182600000000001</v>
      </c>
      <c r="W70" s="222">
        <v>422.06010000000003</v>
      </c>
      <c r="X70" s="78"/>
      <c r="Y70" s="78"/>
      <c r="Z70" s="78"/>
      <c r="AA70" s="78"/>
      <c r="AC70" s="588"/>
      <c r="AD70" s="588"/>
      <c r="AE70" s="588"/>
      <c r="AF70" s="588"/>
      <c r="AG70" s="588"/>
    </row>
    <row r="71" spans="1:33" ht="12.75" hidden="1" customHeight="1">
      <c r="A71" s="97">
        <v>4</v>
      </c>
      <c r="B71" s="97">
        <f t="shared" si="22"/>
        <v>0</v>
      </c>
      <c r="C71" s="97">
        <f t="shared" si="22"/>
        <v>-65.650060799999963</v>
      </c>
      <c r="D71" s="97">
        <f t="shared" si="22"/>
        <v>0</v>
      </c>
      <c r="E71" s="97">
        <f t="shared" si="22"/>
        <v>-410.31287999999978</v>
      </c>
      <c r="F71" s="97">
        <f t="shared" si="22"/>
        <v>0</v>
      </c>
      <c r="G71" s="97">
        <f t="shared" si="22"/>
        <v>0</v>
      </c>
      <c r="H71" s="97">
        <f t="shared" si="22"/>
        <v>0</v>
      </c>
      <c r="I71" s="97">
        <f t="shared" si="22"/>
        <v>-76.591737599999959</v>
      </c>
      <c r="J71" s="97">
        <f t="shared" si="23"/>
        <v>-552.55467839999972</v>
      </c>
      <c r="K71" s="97"/>
      <c r="L71" s="588"/>
      <c r="N71" s="78">
        <v>10</v>
      </c>
      <c r="O71" s="222">
        <v>127.89700000000001</v>
      </c>
      <c r="P71" s="222">
        <v>316.25440000000003</v>
      </c>
      <c r="Q71" s="222">
        <v>474.38160000000005</v>
      </c>
      <c r="R71" s="222">
        <v>301.13929999999999</v>
      </c>
      <c r="S71" s="222">
        <v>44.182600000000001</v>
      </c>
      <c r="T71" s="222">
        <v>44.182600000000001</v>
      </c>
      <c r="U71" s="222">
        <v>44.182600000000001</v>
      </c>
      <c r="V71" s="222">
        <v>44.182600000000001</v>
      </c>
      <c r="W71" s="222">
        <v>674.36599999999999</v>
      </c>
      <c r="X71" s="78"/>
      <c r="Y71" s="78"/>
      <c r="Z71" s="78"/>
      <c r="AA71" s="78"/>
      <c r="AC71" s="588"/>
      <c r="AD71" s="588"/>
      <c r="AE71" s="588"/>
      <c r="AF71" s="588"/>
      <c r="AG71" s="588"/>
    </row>
    <row r="72" spans="1:33" ht="12.75" hidden="1" customHeight="1">
      <c r="A72" s="97">
        <v>6</v>
      </c>
      <c r="B72" s="97">
        <f t="shared" si="22"/>
        <v>0</v>
      </c>
      <c r="C72" s="97">
        <f t="shared" si="22"/>
        <v>-76.780799999999985</v>
      </c>
      <c r="D72" s="97">
        <f t="shared" si="22"/>
        <v>0</v>
      </c>
      <c r="E72" s="97">
        <f t="shared" si="22"/>
        <v>-479.87999999999988</v>
      </c>
      <c r="F72" s="97">
        <f t="shared" si="22"/>
        <v>0</v>
      </c>
      <c r="G72" s="97">
        <f t="shared" si="22"/>
        <v>0</v>
      </c>
      <c r="H72" s="97">
        <f t="shared" si="22"/>
        <v>0</v>
      </c>
      <c r="I72" s="97">
        <f t="shared" si="22"/>
        <v>-89.577599999999975</v>
      </c>
      <c r="J72" s="97">
        <f t="shared" si="23"/>
        <v>-646.23839999999984</v>
      </c>
      <c r="K72" s="97"/>
      <c r="L72" s="588"/>
      <c r="N72" s="78">
        <v>12</v>
      </c>
      <c r="O72" s="222">
        <v>44.182600000000001</v>
      </c>
      <c r="P72" s="222">
        <v>44.182600000000001</v>
      </c>
      <c r="Q72" s="222">
        <v>249.98050000000001</v>
      </c>
      <c r="R72" s="222">
        <v>389.50450000000001</v>
      </c>
      <c r="S72" s="222">
        <v>249.98050000000001</v>
      </c>
      <c r="T72" s="222">
        <v>44.182600000000001</v>
      </c>
      <c r="U72" s="222">
        <v>44.182600000000001</v>
      </c>
      <c r="V72" s="222">
        <v>41.857200000000006</v>
      </c>
      <c r="W72" s="222">
        <v>773.19550000000004</v>
      </c>
      <c r="X72" s="78"/>
      <c r="Y72" s="78"/>
      <c r="Z72" s="78"/>
      <c r="AA72" s="78"/>
      <c r="AC72" s="588"/>
      <c r="AD72" s="588"/>
      <c r="AE72" s="588"/>
      <c r="AF72" s="588"/>
      <c r="AG72" s="588"/>
    </row>
    <row r="73" spans="1:33" ht="12.75" hidden="1" customHeight="1">
      <c r="A73" s="97">
        <v>8</v>
      </c>
      <c r="B73" s="97">
        <f t="shared" si="22"/>
        <v>0</v>
      </c>
      <c r="C73" s="97">
        <f t="shared" si="22"/>
        <v>-54.718084799999993</v>
      </c>
      <c r="D73" s="97">
        <f t="shared" si="22"/>
        <v>0</v>
      </c>
      <c r="E73" s="97">
        <f t="shared" si="22"/>
        <v>-341.98802999999998</v>
      </c>
      <c r="F73" s="97">
        <f t="shared" si="22"/>
        <v>0</v>
      </c>
      <c r="G73" s="97">
        <f t="shared" si="22"/>
        <v>0</v>
      </c>
      <c r="H73" s="97">
        <f t="shared" si="22"/>
        <v>0</v>
      </c>
      <c r="I73" s="97">
        <f t="shared" si="22"/>
        <v>-63.83776559999999</v>
      </c>
      <c r="J73" s="97">
        <f t="shared" si="23"/>
        <v>-460.54388039999998</v>
      </c>
      <c r="K73" s="97"/>
      <c r="L73" s="588"/>
      <c r="N73" s="78">
        <v>14</v>
      </c>
      <c r="O73" s="222">
        <v>44.182600000000001</v>
      </c>
      <c r="P73" s="222">
        <v>44.182600000000001</v>
      </c>
      <c r="Q73" s="222">
        <v>44.182600000000001</v>
      </c>
      <c r="R73" s="222">
        <v>301.13929999999999</v>
      </c>
      <c r="S73" s="222">
        <v>474.38160000000005</v>
      </c>
      <c r="T73" s="222">
        <v>316.25440000000003</v>
      </c>
      <c r="U73" s="222">
        <v>127.89700000000001</v>
      </c>
      <c r="V73" s="222">
        <v>44.182600000000001</v>
      </c>
      <c r="W73" s="222">
        <v>674.36599999999999</v>
      </c>
      <c r="X73" s="78"/>
      <c r="Y73" s="78"/>
      <c r="Z73" s="78"/>
      <c r="AA73" s="78"/>
      <c r="AC73" s="588"/>
      <c r="AD73" s="588"/>
      <c r="AE73" s="588"/>
      <c r="AF73" s="588"/>
      <c r="AG73" s="588"/>
    </row>
    <row r="74" spans="1:33" ht="12.75" hidden="1" customHeight="1">
      <c r="A74" s="97">
        <v>10</v>
      </c>
      <c r="B74" s="97">
        <f t="shared" si="22"/>
        <v>0</v>
      </c>
      <c r="C74" s="97">
        <f t="shared" si="22"/>
        <v>39.098145600000016</v>
      </c>
      <c r="D74" s="97">
        <f t="shared" si="22"/>
        <v>0</v>
      </c>
      <c r="E74" s="97">
        <f t="shared" si="22"/>
        <v>244.36341000000007</v>
      </c>
      <c r="F74" s="97">
        <f t="shared" si="22"/>
        <v>0</v>
      </c>
      <c r="G74" s="97">
        <f t="shared" si="22"/>
        <v>0</v>
      </c>
      <c r="H74" s="97">
        <f t="shared" si="22"/>
        <v>0</v>
      </c>
      <c r="I74" s="97">
        <f t="shared" si="22"/>
        <v>45.614503200000016</v>
      </c>
      <c r="J74" s="97">
        <f t="shared" si="23"/>
        <v>329.07605880000011</v>
      </c>
      <c r="K74" s="97"/>
      <c r="L74" s="588"/>
      <c r="N74" s="78">
        <v>16</v>
      </c>
      <c r="O74" s="222">
        <v>37.206400000000002</v>
      </c>
      <c r="P74" s="222">
        <v>37.206400000000002</v>
      </c>
      <c r="Q74" s="222">
        <v>29.067499999999999</v>
      </c>
      <c r="R74" s="222">
        <v>93.016000000000005</v>
      </c>
      <c r="S74" s="222">
        <v>433.68710000000004</v>
      </c>
      <c r="T74" s="222">
        <v>515.0761</v>
      </c>
      <c r="U74" s="222">
        <v>381.36560000000003</v>
      </c>
      <c r="V74" s="222">
        <v>44.182600000000001</v>
      </c>
      <c r="W74" s="222">
        <v>422.06010000000003</v>
      </c>
      <c r="X74" s="78"/>
      <c r="Y74" s="78"/>
      <c r="Z74" s="78"/>
      <c r="AA74" s="78"/>
      <c r="AC74" s="588"/>
      <c r="AD74" s="588"/>
      <c r="AE74" s="588"/>
      <c r="AF74" s="588"/>
      <c r="AG74" s="588"/>
    </row>
    <row r="75" spans="1:33" ht="12.75" hidden="1" customHeight="1">
      <c r="A75" s="97">
        <v>12</v>
      </c>
      <c r="B75" s="97">
        <f t="shared" si="22"/>
        <v>0</v>
      </c>
      <c r="C75" s="97">
        <f t="shared" si="22"/>
        <v>94.354315200000002</v>
      </c>
      <c r="D75" s="97">
        <f t="shared" si="22"/>
        <v>0</v>
      </c>
      <c r="E75" s="97">
        <f t="shared" si="22"/>
        <v>589.71447000000001</v>
      </c>
      <c r="F75" s="97">
        <f t="shared" si="22"/>
        <v>0</v>
      </c>
      <c r="G75" s="97">
        <f t="shared" si="22"/>
        <v>0</v>
      </c>
      <c r="H75" s="97">
        <f t="shared" si="22"/>
        <v>0</v>
      </c>
      <c r="I75" s="97">
        <f t="shared" si="22"/>
        <v>110.08003440000002</v>
      </c>
      <c r="J75" s="97">
        <f t="shared" si="23"/>
        <v>794.14881960000002</v>
      </c>
      <c r="K75" s="97"/>
      <c r="L75" s="588"/>
      <c r="N75" s="78">
        <v>18</v>
      </c>
      <c r="O75" s="222">
        <v>0</v>
      </c>
      <c r="P75" s="222">
        <v>0</v>
      </c>
      <c r="Q75" s="222">
        <v>0</v>
      </c>
      <c r="R75" s="222">
        <v>0</v>
      </c>
      <c r="S75" s="222">
        <v>0</v>
      </c>
      <c r="T75" s="222">
        <v>279.048</v>
      </c>
      <c r="U75" s="222">
        <v>359.27430000000004</v>
      </c>
      <c r="V75" s="222">
        <v>90.690600000000003</v>
      </c>
      <c r="W75" s="222">
        <v>80.226300000000009</v>
      </c>
      <c r="X75" s="78"/>
      <c r="Y75" s="78"/>
      <c r="Z75" s="78"/>
      <c r="AA75" s="78"/>
      <c r="AC75" s="588"/>
      <c r="AD75" s="588"/>
      <c r="AE75" s="588"/>
      <c r="AF75" s="588"/>
      <c r="AG75" s="588"/>
    </row>
    <row r="76" spans="1:33" ht="12.75" hidden="1" customHeight="1">
      <c r="A76" s="97">
        <v>14</v>
      </c>
      <c r="B76" s="97">
        <f t="shared" si="22"/>
        <v>0</v>
      </c>
      <c r="C76" s="97">
        <f t="shared" si="22"/>
        <v>121.9824</v>
      </c>
      <c r="D76" s="97">
        <f t="shared" si="22"/>
        <v>0</v>
      </c>
      <c r="E76" s="97">
        <f t="shared" si="22"/>
        <v>762.39</v>
      </c>
      <c r="F76" s="97">
        <f t="shared" si="22"/>
        <v>0</v>
      </c>
      <c r="G76" s="97">
        <f t="shared" si="22"/>
        <v>0</v>
      </c>
      <c r="H76" s="97">
        <f t="shared" si="22"/>
        <v>0</v>
      </c>
      <c r="I76" s="97">
        <f t="shared" si="22"/>
        <v>142.31280000000001</v>
      </c>
      <c r="J76" s="97">
        <f t="shared" si="23"/>
        <v>1026.6851999999999</v>
      </c>
      <c r="K76" s="97"/>
      <c r="L76" s="588"/>
      <c r="N76" s="78">
        <v>20</v>
      </c>
      <c r="O76" s="222">
        <v>0</v>
      </c>
      <c r="P76" s="222">
        <v>0</v>
      </c>
      <c r="Q76" s="222">
        <v>0</v>
      </c>
      <c r="R76" s="222">
        <v>0</v>
      </c>
      <c r="S76" s="222">
        <v>0</v>
      </c>
      <c r="T76" s="222">
        <v>0</v>
      </c>
      <c r="U76" s="222">
        <v>0</v>
      </c>
      <c r="V76" s="222">
        <v>0</v>
      </c>
      <c r="W76" s="222">
        <v>0</v>
      </c>
      <c r="X76" s="78"/>
      <c r="Y76" s="78"/>
      <c r="Z76" s="78"/>
      <c r="AA76" s="78"/>
      <c r="AC76" s="588"/>
      <c r="AD76" s="588"/>
      <c r="AE76" s="588"/>
      <c r="AF76" s="588"/>
      <c r="AG76" s="588"/>
    </row>
    <row r="77" spans="1:33" ht="12.75" hidden="1" customHeight="1">
      <c r="A77" s="97">
        <v>16</v>
      </c>
      <c r="B77" s="97">
        <f t="shared" si="22"/>
        <v>0</v>
      </c>
      <c r="C77" s="97">
        <f t="shared" si="22"/>
        <v>105.48505440000002</v>
      </c>
      <c r="D77" s="97">
        <f t="shared" si="22"/>
        <v>0</v>
      </c>
      <c r="E77" s="97">
        <f t="shared" si="22"/>
        <v>659.28159000000016</v>
      </c>
      <c r="F77" s="97">
        <f t="shared" si="22"/>
        <v>0</v>
      </c>
      <c r="G77" s="97">
        <f t="shared" si="22"/>
        <v>0</v>
      </c>
      <c r="H77" s="97">
        <f t="shared" si="22"/>
        <v>0</v>
      </c>
      <c r="I77" s="97">
        <f t="shared" si="22"/>
        <v>123.06589680000003</v>
      </c>
      <c r="J77" s="97">
        <f t="shared" si="23"/>
        <v>887.83254120000015</v>
      </c>
      <c r="K77" s="97"/>
      <c r="L77" s="588"/>
      <c r="N77" s="78">
        <v>22</v>
      </c>
      <c r="O77" s="222">
        <v>0</v>
      </c>
      <c r="P77" s="222">
        <v>0</v>
      </c>
      <c r="Q77" s="222">
        <v>0</v>
      </c>
      <c r="R77" s="222">
        <v>0</v>
      </c>
      <c r="S77" s="222">
        <v>0</v>
      </c>
      <c r="T77" s="222">
        <v>0</v>
      </c>
      <c r="U77" s="222">
        <v>0</v>
      </c>
      <c r="V77" s="222">
        <v>0</v>
      </c>
      <c r="W77" s="222">
        <v>0</v>
      </c>
      <c r="X77" s="78"/>
      <c r="Y77" s="78"/>
      <c r="Z77" s="78"/>
      <c r="AA77" s="78"/>
      <c r="AC77" s="588"/>
      <c r="AD77" s="588"/>
      <c r="AE77" s="588"/>
      <c r="AF77" s="588"/>
      <c r="AG77" s="588"/>
    </row>
    <row r="78" spans="1:33" ht="12.75" hidden="1" customHeight="1">
      <c r="A78" s="97">
        <v>18</v>
      </c>
      <c r="B78" s="97">
        <f t="shared" si="22"/>
        <v>0</v>
      </c>
      <c r="C78" s="97">
        <f t="shared" si="22"/>
        <v>61.160860800000002</v>
      </c>
      <c r="D78" s="97">
        <f t="shared" si="22"/>
        <v>0</v>
      </c>
      <c r="E78" s="97">
        <f t="shared" si="22"/>
        <v>382.25538</v>
      </c>
      <c r="F78" s="97">
        <f t="shared" si="22"/>
        <v>0</v>
      </c>
      <c r="G78" s="97">
        <f t="shared" si="22"/>
        <v>0</v>
      </c>
      <c r="H78" s="97">
        <f t="shared" si="22"/>
        <v>0</v>
      </c>
      <c r="I78" s="97">
        <f t="shared" si="22"/>
        <v>71.354337600000008</v>
      </c>
      <c r="J78" s="97">
        <f t="shared" si="23"/>
        <v>514.77057839999998</v>
      </c>
      <c r="K78" s="97"/>
      <c r="L78" s="58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C78" s="588"/>
      <c r="AD78" s="588"/>
      <c r="AE78" s="588"/>
      <c r="AF78" s="588"/>
      <c r="AG78" s="588"/>
    </row>
    <row r="79" spans="1:33" ht="12.75" hidden="1" customHeight="1">
      <c r="A79" s="97">
        <v>20</v>
      </c>
      <c r="B79" s="97">
        <f t="shared" si="22"/>
        <v>0</v>
      </c>
      <c r="C79" s="97">
        <f t="shared" si="22"/>
        <v>11.470060800000017</v>
      </c>
      <c r="D79" s="97">
        <f t="shared" si="22"/>
        <v>0</v>
      </c>
      <c r="E79" s="97">
        <f t="shared" si="22"/>
        <v>71.687880000000106</v>
      </c>
      <c r="F79" s="97">
        <f t="shared" si="22"/>
        <v>0</v>
      </c>
      <c r="G79" s="97">
        <f t="shared" si="22"/>
        <v>0</v>
      </c>
      <c r="H79" s="97">
        <f t="shared" si="22"/>
        <v>0</v>
      </c>
      <c r="I79" s="97">
        <f t="shared" si="22"/>
        <v>13.381737600000021</v>
      </c>
      <c r="J79" s="97">
        <f t="shared" si="23"/>
        <v>96.539678400000142</v>
      </c>
      <c r="K79" s="97"/>
      <c r="L79" s="58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C79" s="588"/>
      <c r="AD79" s="588"/>
      <c r="AE79" s="588"/>
      <c r="AF79" s="588"/>
      <c r="AG79" s="588"/>
    </row>
    <row r="80" spans="1:33" ht="12.75" hidden="1" customHeight="1">
      <c r="A80" s="97">
        <v>22</v>
      </c>
      <c r="B80" s="97">
        <f t="shared" si="22"/>
        <v>0</v>
      </c>
      <c r="C80" s="97">
        <f t="shared" si="22"/>
        <v>-15.362971199999985</v>
      </c>
      <c r="D80" s="97">
        <f t="shared" si="22"/>
        <v>0</v>
      </c>
      <c r="E80" s="97">
        <f t="shared" si="22"/>
        <v>-96.018569999999912</v>
      </c>
      <c r="F80" s="97">
        <f t="shared" si="22"/>
        <v>0</v>
      </c>
      <c r="G80" s="97">
        <f t="shared" si="22"/>
        <v>0</v>
      </c>
      <c r="H80" s="97">
        <f t="shared" si="22"/>
        <v>0</v>
      </c>
      <c r="I80" s="97">
        <f t="shared" si="22"/>
        <v>-17.923466399999985</v>
      </c>
      <c r="J80" s="97">
        <f t="shared" si="23"/>
        <v>-129.3050075999999</v>
      </c>
      <c r="K80" s="97"/>
      <c r="L80" s="58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C80" s="588"/>
      <c r="AD80" s="588"/>
      <c r="AE80" s="588"/>
      <c r="AF80" s="588"/>
      <c r="AG80" s="588"/>
    </row>
    <row r="81" spans="1:33" ht="12.75" hidden="1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58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C81" s="588"/>
      <c r="AD81" s="588"/>
      <c r="AE81" s="588"/>
      <c r="AF81" s="588"/>
      <c r="AG81" s="588"/>
    </row>
    <row r="82" spans="1:33" ht="12.75" hidden="1" customHeight="1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58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C82" s="588"/>
      <c r="AD82" s="588"/>
      <c r="AE82" s="588"/>
      <c r="AF82" s="588"/>
      <c r="AG82" s="588"/>
    </row>
    <row r="83" spans="1:33" ht="12.75" hidden="1" customHeight="1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58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C83" s="588"/>
      <c r="AD83" s="588"/>
      <c r="AE83" s="588"/>
      <c r="AF83" s="588"/>
      <c r="AG83" s="588"/>
    </row>
    <row r="84" spans="1:33" ht="12.75" hidden="1" customHeight="1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58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C84" s="588"/>
      <c r="AD84" s="588"/>
      <c r="AE84" s="588"/>
      <c r="AF84" s="588"/>
      <c r="AG84" s="588"/>
    </row>
    <row r="85" spans="1:33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58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C85" s="588"/>
      <c r="AD85" s="588"/>
      <c r="AE85" s="588"/>
      <c r="AF85" s="588"/>
      <c r="AG85" s="588"/>
    </row>
    <row r="86" spans="1:33">
      <c r="A86" s="96" t="s">
        <v>217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58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C86" s="588"/>
      <c r="AD86" s="588"/>
      <c r="AE86" s="588"/>
      <c r="AF86" s="588"/>
      <c r="AG86" s="588"/>
    </row>
    <row r="87" spans="1:33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58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C87" s="588"/>
      <c r="AD87" s="588"/>
      <c r="AE87" s="588"/>
      <c r="AF87" s="588"/>
      <c r="AG87" s="588"/>
    </row>
    <row r="88" spans="1:33">
      <c r="A88" s="97" t="s">
        <v>183</v>
      </c>
      <c r="B88" s="128" t="s">
        <v>188</v>
      </c>
      <c r="C88" s="128" t="s">
        <v>189</v>
      </c>
      <c r="D88" s="128" t="s">
        <v>190</v>
      </c>
      <c r="E88" s="128" t="s">
        <v>191</v>
      </c>
      <c r="F88" s="128" t="s">
        <v>192</v>
      </c>
      <c r="G88" s="128" t="s">
        <v>193</v>
      </c>
      <c r="H88" s="128" t="s">
        <v>194</v>
      </c>
      <c r="I88" s="128" t="s">
        <v>195</v>
      </c>
      <c r="J88" s="128"/>
      <c r="K88" s="97"/>
      <c r="L88" s="58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C88" s="588"/>
      <c r="AD88" s="588"/>
      <c r="AE88" s="588"/>
      <c r="AF88" s="588"/>
      <c r="AG88" s="588"/>
    </row>
    <row r="89" spans="1:33">
      <c r="A89" s="97" t="s">
        <v>181</v>
      </c>
      <c r="B89" s="128">
        <f>+B62</f>
        <v>0</v>
      </c>
      <c r="C89" s="128">
        <f>+C62</f>
        <v>2.88</v>
      </c>
      <c r="D89" s="128">
        <f t="shared" ref="D89:I89" si="24">+D62</f>
        <v>0</v>
      </c>
      <c r="E89" s="128">
        <f t="shared" si="24"/>
        <v>18</v>
      </c>
      <c r="F89" s="128">
        <f t="shared" si="24"/>
        <v>0</v>
      </c>
      <c r="G89" s="128">
        <f t="shared" si="24"/>
        <v>0</v>
      </c>
      <c r="H89" s="128">
        <f t="shared" si="24"/>
        <v>0</v>
      </c>
      <c r="I89" s="128">
        <f t="shared" si="24"/>
        <v>3.36</v>
      </c>
      <c r="J89" s="128"/>
      <c r="K89" s="97"/>
      <c r="L89" s="58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C89" s="588"/>
      <c r="AD89" s="588"/>
      <c r="AE89" s="588"/>
      <c r="AF89" s="588"/>
      <c r="AG89" s="588"/>
    </row>
    <row r="90" spans="1:33">
      <c r="A90" s="97"/>
      <c r="B90" s="128"/>
      <c r="C90" s="128"/>
      <c r="D90" s="128"/>
      <c r="E90" s="128"/>
      <c r="F90" s="128"/>
      <c r="G90" s="128"/>
      <c r="H90" s="128"/>
      <c r="I90" s="128"/>
      <c r="J90" s="128"/>
      <c r="K90" s="97"/>
      <c r="L90" s="58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C90" s="588"/>
      <c r="AD90" s="588"/>
      <c r="AE90" s="588"/>
      <c r="AF90" s="588"/>
      <c r="AG90" s="588"/>
    </row>
    <row r="91" spans="1:33">
      <c r="A91" s="96" t="s">
        <v>463</v>
      </c>
      <c r="B91" s="128"/>
      <c r="C91" s="128"/>
      <c r="D91" s="128"/>
      <c r="E91" s="128"/>
      <c r="F91" s="128"/>
      <c r="G91" s="128"/>
      <c r="H91" s="128"/>
      <c r="I91" s="128"/>
      <c r="J91" s="128"/>
      <c r="K91" s="97"/>
      <c r="L91" s="58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C91" s="588"/>
      <c r="AD91" s="588"/>
      <c r="AE91" s="588"/>
      <c r="AF91" s="588"/>
      <c r="AG91" s="588"/>
    </row>
    <row r="92" spans="1:33">
      <c r="A92" s="97"/>
      <c r="B92" s="338">
        <v>0.5</v>
      </c>
      <c r="C92" s="338">
        <v>0.2</v>
      </c>
      <c r="D92" s="338">
        <v>0.5</v>
      </c>
      <c r="E92" s="338">
        <v>0.2</v>
      </c>
      <c r="F92" s="338">
        <v>0.5</v>
      </c>
      <c r="G92" s="338">
        <v>0.2</v>
      </c>
      <c r="H92" s="338">
        <v>0.5</v>
      </c>
      <c r="I92" s="338">
        <v>0.2</v>
      </c>
      <c r="J92" s="128"/>
      <c r="K92" s="97"/>
      <c r="L92" s="58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C92" s="588"/>
      <c r="AD92" s="588"/>
      <c r="AE92" s="588"/>
      <c r="AF92" s="588"/>
      <c r="AG92" s="588"/>
    </row>
    <row r="93" spans="1:33">
      <c r="A93" s="97"/>
      <c r="B93" s="128"/>
      <c r="C93" s="128"/>
      <c r="D93" s="128"/>
      <c r="E93" s="128"/>
      <c r="F93" s="128"/>
      <c r="G93" s="128"/>
      <c r="H93" s="128"/>
      <c r="I93" s="128"/>
      <c r="J93" s="128"/>
      <c r="K93" s="97"/>
      <c r="L93" s="58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C93" s="588"/>
      <c r="AD93" s="588"/>
      <c r="AE93" s="588"/>
      <c r="AF93" s="588"/>
      <c r="AG93" s="588"/>
    </row>
    <row r="94" spans="1:33">
      <c r="A94" s="97" t="s">
        <v>183</v>
      </c>
      <c r="B94" s="128" t="s">
        <v>188</v>
      </c>
      <c r="C94" s="128" t="s">
        <v>189</v>
      </c>
      <c r="D94" s="128" t="s">
        <v>190</v>
      </c>
      <c r="E94" s="128" t="s">
        <v>191</v>
      </c>
      <c r="F94" s="128" t="s">
        <v>192</v>
      </c>
      <c r="G94" s="128" t="s">
        <v>193</v>
      </c>
      <c r="H94" s="128" t="s">
        <v>194</v>
      </c>
      <c r="I94" s="128" t="s">
        <v>195</v>
      </c>
      <c r="J94" s="128" t="s">
        <v>0</v>
      </c>
      <c r="K94" s="97"/>
      <c r="L94" s="58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C94" s="588"/>
      <c r="AD94" s="588"/>
      <c r="AE94" s="588"/>
      <c r="AF94" s="588"/>
      <c r="AG94" s="588"/>
    </row>
    <row r="95" spans="1:33">
      <c r="A95" s="128" t="s">
        <v>187</v>
      </c>
      <c r="B95" s="128"/>
      <c r="C95" s="128"/>
      <c r="D95" s="128"/>
      <c r="E95" s="128"/>
      <c r="F95" s="128"/>
      <c r="G95" s="128"/>
      <c r="H95" s="128"/>
      <c r="I95" s="128"/>
      <c r="J95" s="128"/>
      <c r="K95" s="97"/>
      <c r="L95" s="58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C95" s="588"/>
      <c r="AD95" s="588"/>
      <c r="AE95" s="588"/>
      <c r="AF95" s="588"/>
      <c r="AG95" s="588"/>
    </row>
    <row r="96" spans="1:33">
      <c r="A96" s="128">
        <v>0</v>
      </c>
      <c r="B96" s="221">
        <f t="shared" ref="B96:B107" si="25">+B$89*B$92*O66</f>
        <v>0</v>
      </c>
      <c r="C96" s="221">
        <f t="shared" ref="C96:C107" si="26">+C$89*C$92*P66</f>
        <v>0</v>
      </c>
      <c r="D96" s="221">
        <f t="shared" ref="D96:D107" si="27">+D$89*D$92*Q66</f>
        <v>0</v>
      </c>
      <c r="E96" s="221">
        <f t="shared" ref="E96:E107" si="28">+E$89*E$92*R66</f>
        <v>0</v>
      </c>
      <c r="F96" s="221">
        <f t="shared" ref="F96:F107" si="29">+F$89*F$92*S66</f>
        <v>0</v>
      </c>
      <c r="G96" s="221">
        <f t="shared" ref="G96:G107" si="30">+G$89*G$92*T66</f>
        <v>0</v>
      </c>
      <c r="H96" s="221">
        <f t="shared" ref="H96:H107" si="31">+H$89*H$92*U66</f>
        <v>0</v>
      </c>
      <c r="I96" s="221">
        <f t="shared" ref="I96:I107" si="32">+I$89*I$92*V66</f>
        <v>0</v>
      </c>
      <c r="J96" s="221">
        <f>SUM(B96:I96)</f>
        <v>0</v>
      </c>
      <c r="K96" s="97"/>
      <c r="L96" s="58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C96" s="588"/>
      <c r="AD96" s="588"/>
      <c r="AE96" s="588"/>
      <c r="AF96" s="588"/>
      <c r="AG96" s="588"/>
    </row>
    <row r="97" spans="1:33">
      <c r="A97" s="128">
        <v>2</v>
      </c>
      <c r="B97" s="221">
        <f t="shared" si="25"/>
        <v>0</v>
      </c>
      <c r="C97" s="221">
        <f t="shared" si="26"/>
        <v>0</v>
      </c>
      <c r="D97" s="221">
        <f t="shared" si="27"/>
        <v>0</v>
      </c>
      <c r="E97" s="221">
        <f t="shared" si="28"/>
        <v>0</v>
      </c>
      <c r="F97" s="221">
        <f t="shared" si="29"/>
        <v>0</v>
      </c>
      <c r="G97" s="221">
        <f t="shared" si="30"/>
        <v>0</v>
      </c>
      <c r="H97" s="221">
        <f t="shared" si="31"/>
        <v>0</v>
      </c>
      <c r="I97" s="221">
        <f t="shared" si="32"/>
        <v>0</v>
      </c>
      <c r="J97" s="221">
        <f t="shared" ref="J97:J107" si="33">SUM(B97:I97)</f>
        <v>0</v>
      </c>
      <c r="K97" s="97"/>
      <c r="L97" s="58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C97" s="588"/>
      <c r="AD97" s="588"/>
      <c r="AE97" s="588"/>
      <c r="AF97" s="588"/>
      <c r="AG97" s="588"/>
    </row>
    <row r="98" spans="1:33">
      <c r="A98" s="128">
        <v>4</v>
      </c>
      <c r="B98" s="221">
        <f t="shared" si="25"/>
        <v>0</v>
      </c>
      <c r="C98" s="221">
        <f t="shared" si="26"/>
        <v>0</v>
      </c>
      <c r="D98" s="221">
        <f t="shared" si="27"/>
        <v>0</v>
      </c>
      <c r="E98" s="221">
        <f t="shared" si="28"/>
        <v>0</v>
      </c>
      <c r="F98" s="221">
        <f t="shared" si="29"/>
        <v>0</v>
      </c>
      <c r="G98" s="221">
        <f t="shared" si="30"/>
        <v>0</v>
      </c>
      <c r="H98" s="221">
        <f t="shared" si="31"/>
        <v>0</v>
      </c>
      <c r="I98" s="221">
        <f t="shared" si="32"/>
        <v>0</v>
      </c>
      <c r="J98" s="221">
        <f t="shared" si="33"/>
        <v>0</v>
      </c>
      <c r="K98" s="97"/>
      <c r="L98" s="58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C98" s="588"/>
      <c r="AD98" s="588"/>
      <c r="AE98" s="588"/>
      <c r="AF98" s="588"/>
      <c r="AG98" s="588"/>
    </row>
    <row r="99" spans="1:33">
      <c r="A99" s="128">
        <v>6</v>
      </c>
      <c r="B99" s="221">
        <f t="shared" si="25"/>
        <v>0</v>
      </c>
      <c r="C99" s="221">
        <f t="shared" si="26"/>
        <v>160.73164799999998</v>
      </c>
      <c r="D99" s="221">
        <f t="shared" si="27"/>
        <v>0</v>
      </c>
      <c r="E99" s="221">
        <f t="shared" si="28"/>
        <v>0</v>
      </c>
      <c r="F99" s="221">
        <f t="shared" si="29"/>
        <v>0</v>
      </c>
      <c r="G99" s="221">
        <f t="shared" si="30"/>
        <v>0</v>
      </c>
      <c r="H99" s="221">
        <f t="shared" si="31"/>
        <v>0</v>
      </c>
      <c r="I99" s="221">
        <f t="shared" si="32"/>
        <v>60.944083200000009</v>
      </c>
      <c r="J99" s="221">
        <f t="shared" si="33"/>
        <v>221.67573119999997</v>
      </c>
      <c r="K99" s="97"/>
      <c r="L99" s="58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C99" s="588"/>
      <c r="AD99" s="588"/>
      <c r="AE99" s="588"/>
      <c r="AF99" s="588"/>
      <c r="AG99" s="588"/>
    </row>
    <row r="100" spans="1:33">
      <c r="A100" s="128">
        <v>8</v>
      </c>
      <c r="B100" s="221">
        <f t="shared" si="25"/>
        <v>0</v>
      </c>
      <c r="C100" s="221">
        <f t="shared" si="26"/>
        <v>296.68383359999996</v>
      </c>
      <c r="D100" s="221">
        <f t="shared" si="27"/>
        <v>0</v>
      </c>
      <c r="E100" s="221">
        <f t="shared" si="28"/>
        <v>334.85760000000005</v>
      </c>
      <c r="F100" s="221">
        <f t="shared" si="29"/>
        <v>0</v>
      </c>
      <c r="G100" s="221">
        <f t="shared" si="30"/>
        <v>0</v>
      </c>
      <c r="H100" s="221">
        <f t="shared" si="31"/>
        <v>0</v>
      </c>
      <c r="I100" s="221">
        <f t="shared" si="32"/>
        <v>29.690707200000002</v>
      </c>
      <c r="J100" s="221">
        <f t="shared" si="33"/>
        <v>661.23214080000002</v>
      </c>
      <c r="K100" s="97"/>
      <c r="L100" s="58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C100" s="588"/>
      <c r="AD100" s="588"/>
      <c r="AE100" s="588"/>
      <c r="AF100" s="588"/>
      <c r="AG100" s="588"/>
    </row>
    <row r="101" spans="1:33">
      <c r="A101" s="128">
        <v>10</v>
      </c>
      <c r="B101" s="221">
        <f t="shared" si="25"/>
        <v>0</v>
      </c>
      <c r="C101" s="221">
        <f t="shared" si="26"/>
        <v>182.1625344</v>
      </c>
      <c r="D101" s="221">
        <f t="shared" si="27"/>
        <v>0</v>
      </c>
      <c r="E101" s="221">
        <f t="shared" si="28"/>
        <v>1084.10148</v>
      </c>
      <c r="F101" s="221">
        <f t="shared" si="29"/>
        <v>0</v>
      </c>
      <c r="G101" s="221">
        <f t="shared" si="30"/>
        <v>0</v>
      </c>
      <c r="H101" s="221">
        <f t="shared" si="31"/>
        <v>0</v>
      </c>
      <c r="I101" s="221">
        <f t="shared" si="32"/>
        <v>29.690707200000002</v>
      </c>
      <c r="J101" s="221">
        <f t="shared" si="33"/>
        <v>1295.9547215999999</v>
      </c>
      <c r="K101" s="97"/>
      <c r="L101" s="58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C101" s="588"/>
      <c r="AD101" s="588"/>
      <c r="AE101" s="588"/>
      <c r="AF101" s="588"/>
      <c r="AG101" s="588"/>
    </row>
    <row r="102" spans="1:33">
      <c r="A102" s="128">
        <v>12</v>
      </c>
      <c r="B102" s="221">
        <f t="shared" si="25"/>
        <v>0</v>
      </c>
      <c r="C102" s="221">
        <f t="shared" si="26"/>
        <v>25.449177599999999</v>
      </c>
      <c r="D102" s="221">
        <f t="shared" si="27"/>
        <v>0</v>
      </c>
      <c r="E102" s="221">
        <f t="shared" si="28"/>
        <v>1402.2162000000001</v>
      </c>
      <c r="F102" s="221">
        <f t="shared" si="29"/>
        <v>0</v>
      </c>
      <c r="G102" s="221">
        <f t="shared" si="30"/>
        <v>0</v>
      </c>
      <c r="H102" s="221">
        <f t="shared" si="31"/>
        <v>0</v>
      </c>
      <c r="I102" s="221">
        <f t="shared" si="32"/>
        <v>28.128038400000005</v>
      </c>
      <c r="J102" s="221">
        <f t="shared" si="33"/>
        <v>1455.793416</v>
      </c>
      <c r="K102" s="97"/>
      <c r="L102" s="58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C102" s="588"/>
      <c r="AD102" s="588"/>
      <c r="AE102" s="588"/>
      <c r="AF102" s="588"/>
      <c r="AG102" s="588"/>
    </row>
    <row r="103" spans="1:33">
      <c r="A103" s="128">
        <v>14</v>
      </c>
      <c r="B103" s="221">
        <f t="shared" si="25"/>
        <v>0</v>
      </c>
      <c r="C103" s="221">
        <f t="shared" si="26"/>
        <v>25.449177599999999</v>
      </c>
      <c r="D103" s="221">
        <f t="shared" si="27"/>
        <v>0</v>
      </c>
      <c r="E103" s="221">
        <f t="shared" si="28"/>
        <v>1084.10148</v>
      </c>
      <c r="F103" s="221">
        <f t="shared" si="29"/>
        <v>0</v>
      </c>
      <c r="G103" s="221">
        <f t="shared" si="30"/>
        <v>0</v>
      </c>
      <c r="H103" s="221">
        <f t="shared" si="31"/>
        <v>0</v>
      </c>
      <c r="I103" s="221">
        <f t="shared" si="32"/>
        <v>29.690707200000002</v>
      </c>
      <c r="J103" s="221">
        <f t="shared" si="33"/>
        <v>1139.2413647999999</v>
      </c>
      <c r="K103" s="97"/>
      <c r="L103" s="58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C103" s="588"/>
      <c r="AD103" s="588"/>
      <c r="AE103" s="588"/>
      <c r="AF103" s="588"/>
      <c r="AG103" s="588"/>
    </row>
    <row r="104" spans="1:33">
      <c r="A104" s="128">
        <v>16</v>
      </c>
      <c r="B104" s="221">
        <f t="shared" si="25"/>
        <v>0</v>
      </c>
      <c r="C104" s="221">
        <f t="shared" si="26"/>
        <v>21.430886399999999</v>
      </c>
      <c r="D104" s="221">
        <f t="shared" si="27"/>
        <v>0</v>
      </c>
      <c r="E104" s="221">
        <f t="shared" si="28"/>
        <v>334.85760000000005</v>
      </c>
      <c r="F104" s="221">
        <f t="shared" si="29"/>
        <v>0</v>
      </c>
      <c r="G104" s="221">
        <f t="shared" si="30"/>
        <v>0</v>
      </c>
      <c r="H104" s="221">
        <f t="shared" si="31"/>
        <v>0</v>
      </c>
      <c r="I104" s="221">
        <f t="shared" si="32"/>
        <v>29.690707200000002</v>
      </c>
      <c r="J104" s="221">
        <f t="shared" si="33"/>
        <v>385.97919360000009</v>
      </c>
      <c r="K104" s="97"/>
      <c r="L104" s="58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C104" s="588"/>
      <c r="AD104" s="588"/>
      <c r="AE104" s="588"/>
      <c r="AF104" s="588"/>
      <c r="AG104" s="588"/>
    </row>
    <row r="105" spans="1:33">
      <c r="A105" s="128">
        <v>18</v>
      </c>
      <c r="B105" s="221">
        <f t="shared" si="25"/>
        <v>0</v>
      </c>
      <c r="C105" s="221">
        <f t="shared" si="26"/>
        <v>0</v>
      </c>
      <c r="D105" s="221">
        <f t="shared" si="27"/>
        <v>0</v>
      </c>
      <c r="E105" s="221">
        <f t="shared" si="28"/>
        <v>0</v>
      </c>
      <c r="F105" s="221">
        <f t="shared" si="29"/>
        <v>0</v>
      </c>
      <c r="G105" s="221">
        <f t="shared" si="30"/>
        <v>0</v>
      </c>
      <c r="H105" s="221">
        <f t="shared" si="31"/>
        <v>0</v>
      </c>
      <c r="I105" s="221">
        <f t="shared" si="32"/>
        <v>60.944083200000009</v>
      </c>
      <c r="J105" s="221">
        <f t="shared" si="33"/>
        <v>60.944083200000009</v>
      </c>
      <c r="K105" s="97"/>
      <c r="L105" s="58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C105" s="588"/>
      <c r="AD105" s="588"/>
      <c r="AE105" s="588"/>
      <c r="AF105" s="588"/>
      <c r="AG105" s="588"/>
    </row>
    <row r="106" spans="1:33">
      <c r="A106" s="128">
        <v>20</v>
      </c>
      <c r="B106" s="221">
        <f t="shared" si="25"/>
        <v>0</v>
      </c>
      <c r="C106" s="221">
        <f t="shared" si="26"/>
        <v>0</v>
      </c>
      <c r="D106" s="221">
        <f t="shared" si="27"/>
        <v>0</v>
      </c>
      <c r="E106" s="221">
        <f t="shared" si="28"/>
        <v>0</v>
      </c>
      <c r="F106" s="221">
        <f t="shared" si="29"/>
        <v>0</v>
      </c>
      <c r="G106" s="221">
        <f t="shared" si="30"/>
        <v>0</v>
      </c>
      <c r="H106" s="221">
        <f t="shared" si="31"/>
        <v>0</v>
      </c>
      <c r="I106" s="221">
        <f t="shared" si="32"/>
        <v>0</v>
      </c>
      <c r="J106" s="221">
        <f t="shared" si="33"/>
        <v>0</v>
      </c>
      <c r="K106" s="97"/>
      <c r="L106" s="58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C106" s="588"/>
      <c r="AD106" s="588"/>
      <c r="AE106" s="588"/>
      <c r="AF106" s="588"/>
      <c r="AG106" s="588"/>
    </row>
    <row r="107" spans="1:33">
      <c r="A107" s="128">
        <v>22</v>
      </c>
      <c r="B107" s="221">
        <f t="shared" si="25"/>
        <v>0</v>
      </c>
      <c r="C107" s="221">
        <f t="shared" si="26"/>
        <v>0</v>
      </c>
      <c r="D107" s="221">
        <f t="shared" si="27"/>
        <v>0</v>
      </c>
      <c r="E107" s="221">
        <f t="shared" si="28"/>
        <v>0</v>
      </c>
      <c r="F107" s="221">
        <f t="shared" si="29"/>
        <v>0</v>
      </c>
      <c r="G107" s="221">
        <f t="shared" si="30"/>
        <v>0</v>
      </c>
      <c r="H107" s="221">
        <f t="shared" si="31"/>
        <v>0</v>
      </c>
      <c r="I107" s="221">
        <f t="shared" si="32"/>
        <v>0</v>
      </c>
      <c r="J107" s="221">
        <f t="shared" si="33"/>
        <v>0</v>
      </c>
      <c r="K107" s="97"/>
      <c r="L107" s="58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C107" s="588"/>
      <c r="AD107" s="588"/>
      <c r="AE107" s="588"/>
      <c r="AF107" s="588"/>
      <c r="AG107" s="588"/>
    </row>
    <row r="108" spans="1:33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97"/>
      <c r="L108" s="58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C108" s="588"/>
      <c r="AD108" s="588"/>
      <c r="AE108" s="588"/>
      <c r="AF108" s="588"/>
      <c r="AG108" s="588"/>
    </row>
    <row r="109" spans="1:33">
      <c r="A109" s="128"/>
      <c r="B109" s="128"/>
      <c r="C109" s="128"/>
      <c r="D109" s="128"/>
      <c r="E109" s="128"/>
      <c r="F109" s="128"/>
      <c r="G109" s="128"/>
      <c r="H109" s="128" t="s">
        <v>500</v>
      </c>
      <c r="I109" s="128"/>
      <c r="J109" s="221">
        <f>SUM(J96:J107)</f>
        <v>5220.8206511999997</v>
      </c>
      <c r="K109" s="97"/>
      <c r="L109" s="58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C109" s="588"/>
      <c r="AD109" s="588"/>
      <c r="AE109" s="588"/>
      <c r="AF109" s="588"/>
      <c r="AG109" s="588"/>
    </row>
    <row r="110" spans="1:33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58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C110" s="588"/>
      <c r="AD110" s="588"/>
      <c r="AE110" s="588"/>
      <c r="AF110" s="588"/>
      <c r="AG110" s="588"/>
    </row>
    <row r="111" spans="1:33">
      <c r="A111" s="97" t="s">
        <v>185</v>
      </c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58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C111" s="588"/>
      <c r="AD111" s="588"/>
      <c r="AE111" s="588"/>
      <c r="AF111" s="588"/>
      <c r="AG111" s="588"/>
    </row>
    <row r="112" spans="1:33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58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C112" s="588"/>
      <c r="AD112" s="588"/>
      <c r="AE112" s="588"/>
      <c r="AF112" s="588"/>
      <c r="AG112" s="588"/>
    </row>
    <row r="113" spans="1:33" ht="14.25">
      <c r="A113" s="97" t="s">
        <v>198</v>
      </c>
      <c r="B113" s="97"/>
      <c r="C113" s="97"/>
      <c r="D113" s="97">
        <f>+superficies!D22</f>
        <v>261.89999999999998</v>
      </c>
      <c r="E113" s="97" t="s">
        <v>122</v>
      </c>
      <c r="F113" s="97"/>
      <c r="G113" s="97"/>
      <c r="H113" s="97"/>
      <c r="I113" s="97"/>
      <c r="J113" s="97"/>
      <c r="K113" s="97"/>
      <c r="L113" s="58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C113" s="588"/>
      <c r="AD113" s="588"/>
      <c r="AE113" s="588"/>
      <c r="AF113" s="588"/>
      <c r="AG113" s="588"/>
    </row>
    <row r="114" spans="1:33">
      <c r="A114" s="97" t="s">
        <v>211</v>
      </c>
      <c r="B114" s="97"/>
      <c r="C114" s="97"/>
      <c r="D114" s="97">
        <f>+'Balance calefacción'!C19</f>
        <v>0.93734000000000006</v>
      </c>
      <c r="E114" s="97"/>
      <c r="F114" s="97"/>
      <c r="G114" s="97"/>
      <c r="H114" s="97"/>
      <c r="I114" s="97"/>
      <c r="J114" s="97"/>
      <c r="K114" s="97"/>
      <c r="L114" s="58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C114" s="588"/>
      <c r="AD114" s="588"/>
      <c r="AE114" s="588"/>
      <c r="AF114" s="588"/>
      <c r="AG114" s="588"/>
    </row>
    <row r="115" spans="1:33">
      <c r="A115" s="97" t="s">
        <v>218</v>
      </c>
      <c r="B115" s="97"/>
      <c r="C115" s="97"/>
      <c r="D115" s="97">
        <f>+G275</f>
        <v>25</v>
      </c>
      <c r="E115" s="97" t="s">
        <v>98</v>
      </c>
      <c r="F115" s="97"/>
      <c r="G115" s="97"/>
      <c r="H115" s="97"/>
      <c r="I115" s="97"/>
      <c r="J115" s="97"/>
      <c r="K115" s="97"/>
      <c r="L115" s="58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C115" s="588"/>
      <c r="AD115" s="588"/>
      <c r="AE115" s="588"/>
      <c r="AF115" s="588"/>
      <c r="AG115" s="588"/>
    </row>
    <row r="116" spans="1:33">
      <c r="A116" s="97" t="s">
        <v>2</v>
      </c>
      <c r="B116" s="97"/>
      <c r="C116" s="97"/>
      <c r="D116" s="97" t="s">
        <v>2</v>
      </c>
      <c r="E116" s="97"/>
      <c r="F116" s="97"/>
      <c r="G116" s="97"/>
      <c r="H116" s="97"/>
      <c r="I116" s="97"/>
      <c r="J116" s="97"/>
      <c r="K116" s="97"/>
      <c r="L116" s="58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C116" s="588"/>
      <c r="AD116" s="588"/>
      <c r="AE116" s="588"/>
      <c r="AF116" s="588"/>
      <c r="AG116" s="588"/>
    </row>
    <row r="117" spans="1:33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58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C117" s="588"/>
      <c r="AD117" s="588"/>
      <c r="AE117" s="588"/>
      <c r="AF117" s="588"/>
      <c r="AG117" s="588"/>
    </row>
    <row r="118" spans="1:33">
      <c r="A118" s="97" t="s">
        <v>219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58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C118" s="588"/>
      <c r="AD118" s="588"/>
      <c r="AE118" s="588"/>
      <c r="AF118" s="588"/>
      <c r="AG118" s="588"/>
    </row>
    <row r="119" spans="1:33" ht="15" customHeight="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58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C119" s="588"/>
      <c r="AD119" s="588"/>
      <c r="AE119" s="588"/>
      <c r="AF119" s="588"/>
      <c r="AG119" s="588"/>
    </row>
    <row r="120" spans="1:33">
      <c r="A120" s="128" t="s">
        <v>220</v>
      </c>
      <c r="B120" s="128"/>
      <c r="C120" s="128"/>
      <c r="D120" s="97"/>
      <c r="E120" s="97"/>
      <c r="F120" s="97"/>
      <c r="G120" s="97"/>
      <c r="H120" s="97"/>
      <c r="I120" s="97"/>
      <c r="J120" s="97"/>
      <c r="K120" s="97"/>
      <c r="L120" s="58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C120" s="588"/>
      <c r="AD120" s="588"/>
      <c r="AE120" s="588"/>
      <c r="AF120" s="588"/>
      <c r="AG120" s="588"/>
    </row>
    <row r="121" spans="1:33">
      <c r="A121" s="128" t="s">
        <v>187</v>
      </c>
      <c r="B121" s="128" t="s">
        <v>210</v>
      </c>
      <c r="C121" s="128" t="s">
        <v>2</v>
      </c>
      <c r="D121" s="97"/>
      <c r="E121" s="97"/>
      <c r="F121" s="97"/>
      <c r="G121" s="97"/>
      <c r="H121" s="97"/>
      <c r="I121" s="97"/>
      <c r="J121" s="97"/>
      <c r="K121" s="97"/>
      <c r="L121" s="58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C121" s="588"/>
      <c r="AD121" s="588"/>
      <c r="AE121" s="588"/>
      <c r="AF121" s="588"/>
      <c r="AG121" s="588"/>
    </row>
    <row r="122" spans="1:33">
      <c r="A122" s="128">
        <v>0</v>
      </c>
      <c r="B122" s="128">
        <f>+'Balance calefacción'!D20</f>
        <v>0.5</v>
      </c>
      <c r="C122" s="128">
        <f t="shared" ref="C122:C133" si="34">0.35*$D$113*$D$114*(AA12-$G$275)*B122</f>
        <v>-113.28289988179488</v>
      </c>
      <c r="D122" s="97"/>
      <c r="E122" s="97"/>
      <c r="F122" s="97"/>
      <c r="G122" s="97"/>
      <c r="H122" s="97"/>
      <c r="I122" s="97"/>
      <c r="J122" s="97"/>
      <c r="K122" s="97"/>
      <c r="L122" s="58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C122" s="588"/>
      <c r="AD122" s="588"/>
      <c r="AE122" s="588"/>
      <c r="AF122" s="588"/>
      <c r="AG122" s="588"/>
    </row>
    <row r="123" spans="1:33">
      <c r="A123" s="128">
        <v>2</v>
      </c>
      <c r="B123" s="128">
        <f>+B122</f>
        <v>0.5</v>
      </c>
      <c r="C123" s="128">
        <f t="shared" si="34"/>
        <v>-170.51291052972746</v>
      </c>
      <c r="D123" s="97"/>
      <c r="E123" s="97"/>
      <c r="F123" s="97"/>
      <c r="G123" s="97"/>
      <c r="H123" s="97"/>
      <c r="I123" s="97"/>
      <c r="J123" s="97"/>
      <c r="K123" s="97"/>
      <c r="L123" s="58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C123" s="588"/>
      <c r="AD123" s="588"/>
      <c r="AE123" s="588"/>
      <c r="AF123" s="588"/>
      <c r="AG123" s="588"/>
    </row>
    <row r="124" spans="1:33">
      <c r="A124" s="128">
        <v>4</v>
      </c>
      <c r="B124" s="128">
        <f t="shared" ref="B124:B133" si="35">+B123</f>
        <v>0.5</v>
      </c>
      <c r="C124" s="128">
        <f t="shared" si="34"/>
        <v>-227.74292117765989</v>
      </c>
      <c r="D124" s="97"/>
      <c r="E124" s="97"/>
      <c r="F124" s="97"/>
      <c r="G124" s="97"/>
      <c r="H124" s="97"/>
      <c r="I124" s="97"/>
      <c r="J124" s="97"/>
      <c r="K124" s="97"/>
      <c r="L124" s="58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C124" s="588"/>
      <c r="AD124" s="588"/>
      <c r="AE124" s="588"/>
      <c r="AF124" s="588"/>
      <c r="AG124" s="588"/>
    </row>
    <row r="125" spans="1:33">
      <c r="A125" s="128">
        <v>6</v>
      </c>
      <c r="B125" s="128">
        <f t="shared" si="35"/>
        <v>0.5</v>
      </c>
      <c r="C125" s="128">
        <f t="shared" si="34"/>
        <v>-266.35594040999996</v>
      </c>
      <c r="D125" s="97"/>
      <c r="E125" s="97"/>
      <c r="F125" s="97"/>
      <c r="G125" s="97"/>
      <c r="H125" s="97"/>
      <c r="I125" s="97"/>
      <c r="J125" s="97"/>
      <c r="K125" s="97"/>
      <c r="L125" s="58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C125" s="588"/>
      <c r="AD125" s="588"/>
      <c r="AE125" s="588"/>
      <c r="AF125" s="588"/>
      <c r="AG125" s="588"/>
    </row>
    <row r="126" spans="1:33">
      <c r="A126" s="128">
        <v>8</v>
      </c>
      <c r="B126" s="128">
        <f t="shared" si="35"/>
        <v>0.5</v>
      </c>
      <c r="C126" s="128">
        <f t="shared" si="34"/>
        <v>-189.81942014589751</v>
      </c>
      <c r="D126" s="97"/>
      <c r="E126" s="97"/>
      <c r="F126" s="97"/>
      <c r="G126" s="97"/>
      <c r="H126" s="97"/>
      <c r="I126" s="97"/>
      <c r="J126" s="97"/>
      <c r="K126" s="97"/>
      <c r="L126" s="58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C126" s="588"/>
      <c r="AD126" s="588"/>
      <c r="AE126" s="588"/>
      <c r="AF126" s="588"/>
      <c r="AG126" s="588"/>
    </row>
    <row r="127" spans="1:33">
      <c r="A127" s="128">
        <v>10</v>
      </c>
      <c r="B127" s="128">
        <f t="shared" si="35"/>
        <v>0.5</v>
      </c>
      <c r="C127" s="128">
        <f t="shared" si="34"/>
        <v>135.63317052668256</v>
      </c>
      <c r="D127" s="97"/>
      <c r="E127" s="97"/>
      <c r="F127" s="97"/>
      <c r="G127" s="97"/>
      <c r="H127" s="97"/>
      <c r="I127" s="97"/>
      <c r="J127" s="97"/>
      <c r="K127" s="97"/>
      <c r="L127" s="58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C127" s="588"/>
      <c r="AD127" s="588"/>
      <c r="AE127" s="588"/>
      <c r="AF127" s="588"/>
      <c r="AG127" s="588"/>
    </row>
    <row r="128" spans="1:33">
      <c r="A128" s="128">
        <v>12</v>
      </c>
      <c r="B128" s="128">
        <f t="shared" si="35"/>
        <v>0.5</v>
      </c>
      <c r="C128" s="128">
        <f t="shared" si="34"/>
        <v>327.31923028722758</v>
      </c>
      <c r="D128" s="97"/>
      <c r="E128" s="97"/>
      <c r="F128" s="97"/>
      <c r="G128" s="97"/>
      <c r="H128" s="97"/>
      <c r="I128" s="97"/>
      <c r="J128" s="97"/>
      <c r="K128" s="97"/>
      <c r="L128" s="58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C128" s="588"/>
      <c r="AD128" s="588"/>
      <c r="AE128" s="588"/>
      <c r="AF128" s="588"/>
      <c r="AG128" s="588"/>
    </row>
    <row r="129" spans="1:33">
      <c r="A129" s="128">
        <v>14</v>
      </c>
      <c r="B129" s="128">
        <f t="shared" si="35"/>
        <v>0.5</v>
      </c>
      <c r="C129" s="128">
        <f t="shared" si="34"/>
        <v>423.16226016750005</v>
      </c>
      <c r="D129" s="97"/>
      <c r="E129" s="97"/>
      <c r="F129" s="97"/>
      <c r="G129" s="97"/>
      <c r="H129" s="97"/>
      <c r="I129" s="97"/>
      <c r="J129" s="97"/>
      <c r="K129" s="97"/>
      <c r="L129" s="58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C129" s="588"/>
      <c r="AD129" s="588"/>
      <c r="AE129" s="588"/>
      <c r="AF129" s="588"/>
      <c r="AG129" s="588"/>
    </row>
    <row r="130" spans="1:33">
      <c r="A130" s="128">
        <v>16</v>
      </c>
      <c r="B130" s="128">
        <f t="shared" si="35"/>
        <v>0.5</v>
      </c>
      <c r="C130" s="128">
        <f t="shared" si="34"/>
        <v>365.93224951956762</v>
      </c>
      <c r="D130" s="97"/>
      <c r="E130" s="97"/>
      <c r="F130" s="97"/>
      <c r="G130" s="97"/>
      <c r="H130" s="97"/>
      <c r="I130" s="97"/>
      <c r="J130" s="97"/>
      <c r="K130" s="97"/>
      <c r="L130" s="58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C130" s="588"/>
      <c r="AD130" s="588"/>
      <c r="AE130" s="588"/>
      <c r="AF130" s="588"/>
      <c r="AG130" s="588"/>
    </row>
    <row r="131" spans="1:33">
      <c r="A131" s="128">
        <v>18</v>
      </c>
      <c r="B131" s="128">
        <f t="shared" si="35"/>
        <v>0.5</v>
      </c>
      <c r="C131" s="128">
        <f t="shared" si="34"/>
        <v>212.16969079078504</v>
      </c>
      <c r="D131" s="97"/>
      <c r="E131" s="97"/>
      <c r="F131" s="97"/>
      <c r="G131" s="97"/>
      <c r="H131" s="97"/>
      <c r="I131" s="97"/>
      <c r="J131" s="97"/>
      <c r="K131" s="97"/>
      <c r="L131" s="58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C131" s="588"/>
      <c r="AD131" s="588"/>
      <c r="AE131" s="588"/>
      <c r="AF131" s="588"/>
      <c r="AG131" s="588"/>
    </row>
    <row r="132" spans="1:33">
      <c r="A132" s="128">
        <v>20</v>
      </c>
      <c r="B132" s="128">
        <f t="shared" si="35"/>
        <v>0.5</v>
      </c>
      <c r="C132" s="128">
        <f t="shared" si="34"/>
        <v>39.790140646410059</v>
      </c>
      <c r="D132" s="97"/>
      <c r="E132" s="97"/>
      <c r="F132" s="97"/>
      <c r="G132" s="97"/>
      <c r="H132" s="97"/>
      <c r="I132" s="97"/>
      <c r="J132" s="97"/>
      <c r="K132" s="97"/>
      <c r="L132" s="58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C132" s="588"/>
      <c r="AD132" s="588"/>
      <c r="AE132" s="588"/>
      <c r="AF132" s="588"/>
      <c r="AG132" s="588"/>
    </row>
    <row r="133" spans="1:33">
      <c r="A133" s="128">
        <v>22</v>
      </c>
      <c r="B133" s="128">
        <f t="shared" si="35"/>
        <v>0.5</v>
      </c>
      <c r="C133" s="128">
        <f t="shared" si="34"/>
        <v>-53.294816431552455</v>
      </c>
      <c r="D133" s="97"/>
      <c r="E133" s="97"/>
      <c r="F133" s="97"/>
      <c r="G133" s="97"/>
      <c r="H133" s="97"/>
      <c r="I133" s="97"/>
      <c r="J133" s="97"/>
      <c r="K133" s="97"/>
      <c r="L133" s="58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C133" s="588"/>
      <c r="AD133" s="588"/>
      <c r="AE133" s="588"/>
      <c r="AF133" s="588"/>
      <c r="AG133" s="588"/>
    </row>
    <row r="134" spans="1:33">
      <c r="A134" s="128"/>
      <c r="B134" s="128"/>
      <c r="C134" s="128"/>
      <c r="D134" s="97"/>
      <c r="E134" s="97"/>
      <c r="F134" s="97"/>
      <c r="G134" s="97"/>
      <c r="H134" s="97"/>
      <c r="I134" s="97"/>
      <c r="J134" s="97"/>
      <c r="K134" s="97"/>
      <c r="L134" s="58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C134" s="588"/>
      <c r="AD134" s="588"/>
      <c r="AE134" s="588"/>
      <c r="AF134" s="588"/>
      <c r="AG134" s="588"/>
    </row>
    <row r="135" spans="1:33">
      <c r="A135" s="128"/>
      <c r="B135" s="128" t="s">
        <v>500</v>
      </c>
      <c r="C135" s="128">
        <f>SUM(C122:C133)</f>
        <v>482.99783336154053</v>
      </c>
      <c r="D135" s="97"/>
      <c r="E135" s="97"/>
      <c r="F135" s="97"/>
      <c r="G135" s="97"/>
      <c r="H135" s="97"/>
      <c r="I135" s="97"/>
      <c r="J135" s="97"/>
      <c r="K135" s="97"/>
      <c r="L135" s="58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C135" s="588"/>
      <c r="AD135" s="588"/>
      <c r="AE135" s="588"/>
      <c r="AF135" s="588"/>
      <c r="AG135" s="588"/>
    </row>
    <row r="136" spans="1:33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58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C136" s="588"/>
      <c r="AD136" s="588"/>
      <c r="AE136" s="588"/>
      <c r="AF136" s="588"/>
      <c r="AG136" s="588"/>
    </row>
    <row r="137" spans="1:33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58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C137" s="588"/>
      <c r="AD137" s="588"/>
      <c r="AE137" s="588"/>
      <c r="AF137" s="588"/>
      <c r="AG137" s="588"/>
    </row>
    <row r="138" spans="1:33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58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C138" s="588"/>
      <c r="AD138" s="588"/>
      <c r="AE138" s="588"/>
      <c r="AF138" s="588"/>
      <c r="AG138" s="588"/>
    </row>
    <row r="139" spans="1:33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58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C139" s="588"/>
      <c r="AD139" s="588"/>
      <c r="AE139" s="588"/>
      <c r="AF139" s="588"/>
      <c r="AG139" s="588"/>
    </row>
    <row r="140" spans="1:33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588"/>
      <c r="M140" s="78"/>
      <c r="N140" s="78"/>
      <c r="O140" s="78"/>
      <c r="S140" s="78"/>
      <c r="T140" s="78"/>
      <c r="U140" s="78"/>
      <c r="V140" s="78"/>
      <c r="W140" s="78"/>
      <c r="X140" s="78"/>
      <c r="Y140" s="78"/>
      <c r="Z140" s="78"/>
      <c r="AA140" s="78"/>
      <c r="AC140" s="588"/>
      <c r="AD140" s="588"/>
      <c r="AE140" s="588"/>
      <c r="AF140" s="588"/>
      <c r="AG140" s="588"/>
    </row>
    <row r="141" spans="1:33">
      <c r="A141" s="97" t="s">
        <v>199</v>
      </c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588"/>
      <c r="M141" s="78"/>
      <c r="N141" s="78"/>
      <c r="O141" s="78"/>
      <c r="S141" s="78"/>
      <c r="T141" s="78"/>
      <c r="U141" s="78"/>
      <c r="V141" s="78"/>
      <c r="W141" s="78"/>
      <c r="X141" s="78"/>
      <c r="Y141" s="78"/>
      <c r="Z141" s="78"/>
      <c r="AA141" s="78"/>
      <c r="AC141" s="588"/>
      <c r="AD141" s="588"/>
      <c r="AE141" s="588"/>
      <c r="AF141" s="588"/>
      <c r="AG141" s="588"/>
    </row>
    <row r="142" spans="1:33">
      <c r="A142" s="97" t="s">
        <v>454</v>
      </c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588"/>
      <c r="M142" s="78"/>
      <c r="N142" s="78"/>
      <c r="O142" s="78"/>
      <c r="S142" s="78"/>
      <c r="T142" s="78"/>
      <c r="U142" s="78"/>
      <c r="V142" s="78"/>
      <c r="W142" s="78"/>
      <c r="X142" s="78"/>
      <c r="Y142" s="78"/>
      <c r="Z142" s="78"/>
      <c r="AA142" s="78"/>
      <c r="AC142" s="588"/>
      <c r="AD142" s="588"/>
      <c r="AE142" s="588"/>
      <c r="AF142" s="588"/>
      <c r="AG142" s="588"/>
    </row>
    <row r="143" spans="1:33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588"/>
      <c r="M143" s="78"/>
      <c r="N143" s="78"/>
      <c r="O143" s="78"/>
      <c r="S143" s="78"/>
      <c r="T143" s="78"/>
      <c r="U143" s="78"/>
      <c r="V143" s="78"/>
      <c r="W143" s="78"/>
      <c r="X143" s="78"/>
      <c r="Y143" s="78"/>
      <c r="Z143" s="78"/>
      <c r="AA143" s="78"/>
      <c r="AC143" s="588"/>
      <c r="AD143" s="588"/>
      <c r="AE143" s="588"/>
      <c r="AF143" s="588"/>
      <c r="AG143" s="588"/>
    </row>
    <row r="144" spans="1:33">
      <c r="A144" s="97" t="s">
        <v>274</v>
      </c>
      <c r="B144" s="97"/>
      <c r="C144" s="97"/>
      <c r="D144" s="97"/>
      <c r="E144" s="97" t="s">
        <v>2</v>
      </c>
      <c r="F144" s="97"/>
      <c r="G144" s="97"/>
      <c r="H144" s="97"/>
      <c r="I144" s="97"/>
      <c r="J144" s="97"/>
      <c r="K144" s="97"/>
      <c r="L144" s="588"/>
      <c r="M144" s="78"/>
      <c r="N144" s="78"/>
      <c r="O144" s="78"/>
      <c r="S144" s="78"/>
      <c r="T144" s="78"/>
      <c r="U144" s="78"/>
      <c r="V144" s="78"/>
      <c r="W144" s="78"/>
      <c r="X144" s="78"/>
      <c r="Y144" s="78"/>
      <c r="Z144" s="78"/>
      <c r="AA144" s="78"/>
      <c r="AC144" s="588"/>
      <c r="AD144" s="588"/>
      <c r="AE144" s="588"/>
      <c r="AF144" s="588"/>
      <c r="AG144" s="588"/>
    </row>
    <row r="145" spans="1:33">
      <c r="A145" s="97" t="s">
        <v>395</v>
      </c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588"/>
      <c r="M145" s="78"/>
      <c r="N145" s="91"/>
      <c r="O145" s="91"/>
      <c r="S145" s="91"/>
      <c r="T145" s="91"/>
      <c r="U145" s="91"/>
      <c r="V145" s="91"/>
      <c r="W145" s="78"/>
      <c r="X145" s="78"/>
      <c r="Y145" s="78"/>
      <c r="Z145" s="78"/>
      <c r="AA145" s="78"/>
      <c r="AC145" s="588"/>
      <c r="AD145" s="588"/>
      <c r="AE145" s="588"/>
      <c r="AF145" s="588"/>
      <c r="AG145" s="588"/>
    </row>
    <row r="146" spans="1:33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588"/>
      <c r="M146" s="78"/>
      <c r="N146" s="78"/>
      <c r="O146" s="78"/>
      <c r="S146" s="78"/>
      <c r="T146" s="78"/>
      <c r="U146" s="78"/>
      <c r="V146" s="78"/>
      <c r="W146" s="78"/>
      <c r="X146" s="78"/>
      <c r="Y146" s="78"/>
      <c r="Z146" s="78"/>
      <c r="AA146" s="78"/>
      <c r="AC146" s="588"/>
      <c r="AD146" s="588"/>
      <c r="AE146" s="588"/>
      <c r="AF146" s="588"/>
      <c r="AG146" s="588"/>
    </row>
    <row r="147" spans="1:33" ht="13.5" thickBot="1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588"/>
      <c r="M147" s="78"/>
      <c r="N147" s="78"/>
      <c r="O147" s="78"/>
      <c r="S147" s="78"/>
      <c r="T147" s="78"/>
      <c r="U147" s="78"/>
      <c r="V147" s="78"/>
      <c r="W147" s="78"/>
      <c r="X147" s="78"/>
      <c r="Y147" s="78"/>
      <c r="Z147" s="78"/>
      <c r="AA147" s="78"/>
      <c r="AC147" s="588"/>
      <c r="AD147" s="588"/>
      <c r="AE147" s="588"/>
      <c r="AF147" s="588"/>
      <c r="AG147" s="588"/>
    </row>
    <row r="148" spans="1:33" ht="13.5" thickBot="1">
      <c r="A148" s="539" t="s">
        <v>187</v>
      </c>
      <c r="B148" s="316" t="s">
        <v>538</v>
      </c>
      <c r="C148" s="540" t="s">
        <v>539</v>
      </c>
      <c r="D148" s="541" t="s">
        <v>276</v>
      </c>
      <c r="E148" s="542" t="s">
        <v>12</v>
      </c>
      <c r="F148" s="97"/>
      <c r="G148" s="97"/>
      <c r="H148" s="97"/>
      <c r="I148" s="97"/>
      <c r="J148" s="97"/>
      <c r="K148" s="97"/>
      <c r="L148" s="588"/>
      <c r="M148" s="78"/>
      <c r="N148" s="78"/>
      <c r="O148" s="78"/>
      <c r="S148" s="78"/>
      <c r="T148" s="78"/>
      <c r="U148" s="78"/>
      <c r="V148" s="78"/>
      <c r="W148" s="78"/>
      <c r="X148" s="78"/>
      <c r="Y148" s="78"/>
      <c r="Z148" s="78"/>
      <c r="AA148" s="78"/>
      <c r="AC148" s="588"/>
      <c r="AD148" s="588"/>
      <c r="AE148" s="588"/>
      <c r="AF148" s="588"/>
      <c r="AG148" s="588"/>
    </row>
    <row r="149" spans="1:33">
      <c r="A149" s="320">
        <v>0</v>
      </c>
      <c r="B149" s="543">
        <v>5</v>
      </c>
      <c r="C149" s="544">
        <v>0.7</v>
      </c>
      <c r="D149" s="618">
        <f>58.2*1.8*B149*C149*2</f>
        <v>733.32</v>
      </c>
      <c r="E149" s="542" t="s">
        <v>350</v>
      </c>
      <c r="F149" s="97"/>
      <c r="G149" s="97"/>
      <c r="H149" s="97"/>
      <c r="I149" s="97"/>
      <c r="J149" s="97"/>
      <c r="K149" s="97"/>
      <c r="L149" s="588"/>
      <c r="M149" s="78"/>
      <c r="N149" s="78"/>
      <c r="O149" s="78"/>
      <c r="S149" s="78"/>
      <c r="T149" s="78"/>
      <c r="U149" s="78"/>
      <c r="V149" s="78"/>
      <c r="W149" s="78"/>
      <c r="X149" s="78"/>
      <c r="Y149" s="78"/>
      <c r="Z149" s="78"/>
      <c r="AA149" s="78"/>
      <c r="AC149" s="588"/>
      <c r="AD149" s="588"/>
      <c r="AE149" s="588"/>
      <c r="AF149" s="588"/>
      <c r="AG149" s="588"/>
    </row>
    <row r="150" spans="1:33">
      <c r="A150" s="320">
        <v>2</v>
      </c>
      <c r="B150" s="543">
        <v>5</v>
      </c>
      <c r="C150" s="544">
        <v>0.7</v>
      </c>
      <c r="D150" s="619">
        <f t="shared" ref="D150:D160" si="36">58.2*1.8*B150*C150*2</f>
        <v>733.32</v>
      </c>
      <c r="E150" s="545" t="s">
        <v>350</v>
      </c>
      <c r="F150" s="97"/>
      <c r="G150" s="97"/>
      <c r="H150" s="97"/>
      <c r="I150" s="97"/>
      <c r="J150" s="97"/>
      <c r="K150" s="97"/>
      <c r="L150" s="588"/>
      <c r="M150" s="78"/>
      <c r="N150" s="78"/>
      <c r="O150" s="78"/>
      <c r="S150" s="78"/>
      <c r="T150" s="78"/>
      <c r="U150" s="78"/>
      <c r="V150" s="78"/>
      <c r="W150" s="78"/>
      <c r="X150" s="78"/>
      <c r="Y150" s="78"/>
      <c r="Z150" s="78"/>
      <c r="AA150" s="78"/>
      <c r="AC150" s="588"/>
      <c r="AD150" s="588"/>
      <c r="AE150" s="588"/>
      <c r="AF150" s="588"/>
      <c r="AG150" s="588"/>
    </row>
    <row r="151" spans="1:33">
      <c r="A151" s="320">
        <v>4</v>
      </c>
      <c r="B151" s="543">
        <v>5</v>
      </c>
      <c r="C151" s="544">
        <v>0.7</v>
      </c>
      <c r="D151" s="619">
        <f t="shared" si="36"/>
        <v>733.32</v>
      </c>
      <c r="E151" s="545" t="s">
        <v>350</v>
      </c>
      <c r="F151" s="97"/>
      <c r="G151" s="97"/>
      <c r="H151" s="97"/>
      <c r="I151" s="97"/>
      <c r="J151" s="97"/>
      <c r="K151" s="97"/>
      <c r="L151" s="588"/>
      <c r="M151" s="78"/>
      <c r="N151" s="78"/>
      <c r="O151" s="78"/>
      <c r="S151" s="78"/>
      <c r="T151" s="78"/>
      <c r="U151" s="78"/>
      <c r="V151" s="78"/>
      <c r="W151" s="78"/>
      <c r="X151" s="78"/>
      <c r="Y151" s="78"/>
      <c r="Z151" s="78"/>
      <c r="AA151" s="78"/>
      <c r="AC151" s="588"/>
      <c r="AD151" s="588"/>
      <c r="AE151" s="588"/>
      <c r="AF151" s="588"/>
      <c r="AG151" s="588"/>
    </row>
    <row r="152" spans="1:33">
      <c r="A152" s="320">
        <v>6</v>
      </c>
      <c r="B152" s="543">
        <v>5</v>
      </c>
      <c r="C152" s="544">
        <v>0.7</v>
      </c>
      <c r="D152" s="619">
        <f t="shared" si="36"/>
        <v>733.32</v>
      </c>
      <c r="E152" s="545" t="s">
        <v>350</v>
      </c>
      <c r="F152" s="97"/>
      <c r="G152" s="97"/>
      <c r="H152" s="97"/>
      <c r="I152" s="97"/>
      <c r="J152" s="97"/>
      <c r="K152" s="97"/>
      <c r="L152" s="588"/>
      <c r="M152" s="78"/>
      <c r="N152" s="78"/>
      <c r="O152" s="78"/>
      <c r="S152" s="78"/>
      <c r="T152" s="78"/>
      <c r="U152" s="78"/>
      <c r="V152" s="78"/>
      <c r="W152" s="78"/>
      <c r="X152" s="78"/>
      <c r="Y152" s="78"/>
      <c r="Z152" s="78"/>
      <c r="AA152" s="78"/>
      <c r="AC152" s="588"/>
      <c r="AD152" s="588"/>
      <c r="AE152" s="588"/>
      <c r="AF152" s="588"/>
      <c r="AG152" s="588"/>
    </row>
    <row r="153" spans="1:33">
      <c r="A153" s="320">
        <v>8</v>
      </c>
      <c r="B153" s="543">
        <v>5</v>
      </c>
      <c r="C153" s="544">
        <v>1</v>
      </c>
      <c r="D153" s="619">
        <f t="shared" si="36"/>
        <v>1047.6000000000001</v>
      </c>
      <c r="E153" s="545"/>
      <c r="F153" s="97"/>
      <c r="G153" s="97"/>
      <c r="H153" s="97"/>
      <c r="I153" s="97"/>
      <c r="J153" s="97"/>
      <c r="K153" s="97"/>
      <c r="L153" s="588"/>
      <c r="M153" s="78"/>
      <c r="N153" s="78"/>
      <c r="O153" s="78"/>
      <c r="S153" s="78"/>
      <c r="T153" s="78"/>
      <c r="U153" s="78"/>
      <c r="V153" s="78"/>
      <c r="W153" s="78"/>
      <c r="X153" s="78"/>
      <c r="Y153" s="78"/>
      <c r="Z153" s="78"/>
      <c r="AA153" s="78"/>
      <c r="AC153" s="588"/>
      <c r="AD153" s="588"/>
      <c r="AE153" s="588"/>
      <c r="AF153" s="588"/>
      <c r="AG153" s="588"/>
    </row>
    <row r="154" spans="1:33">
      <c r="A154" s="320">
        <v>10</v>
      </c>
      <c r="B154" s="543">
        <v>3</v>
      </c>
      <c r="C154" s="544">
        <v>1</v>
      </c>
      <c r="D154" s="619">
        <f t="shared" si="36"/>
        <v>628.56000000000006</v>
      </c>
      <c r="E154" s="545"/>
      <c r="F154" s="97"/>
      <c r="G154" s="97"/>
      <c r="H154" s="97"/>
      <c r="I154" s="97"/>
      <c r="J154" s="97"/>
      <c r="K154" s="97"/>
      <c r="L154" s="588"/>
      <c r="M154" s="78"/>
      <c r="N154" s="78"/>
      <c r="O154" s="78"/>
      <c r="S154" s="78"/>
      <c r="T154" s="78"/>
      <c r="U154" s="78"/>
      <c r="V154" s="78"/>
      <c r="W154" s="78"/>
      <c r="X154" s="78"/>
      <c r="Y154" s="78"/>
      <c r="Z154" s="78"/>
      <c r="AA154" s="78"/>
      <c r="AC154" s="588"/>
      <c r="AD154" s="588"/>
      <c r="AE154" s="588"/>
      <c r="AF154" s="588"/>
      <c r="AG154" s="588"/>
    </row>
    <row r="155" spans="1:33">
      <c r="A155" s="320">
        <v>12</v>
      </c>
      <c r="B155" s="543">
        <v>3</v>
      </c>
      <c r="C155" s="544">
        <v>2.1</v>
      </c>
      <c r="D155" s="619">
        <f t="shared" si="36"/>
        <v>1319.9760000000001</v>
      </c>
      <c r="E155" s="545" t="s">
        <v>499</v>
      </c>
      <c r="F155" s="97"/>
      <c r="G155" s="97"/>
      <c r="H155" s="97"/>
      <c r="I155" s="97"/>
      <c r="J155" s="97"/>
      <c r="K155" s="97"/>
      <c r="L155" s="588"/>
      <c r="M155" s="78"/>
      <c r="N155" s="78"/>
      <c r="O155" s="78"/>
      <c r="S155" s="78"/>
      <c r="T155" s="78"/>
      <c r="U155" s="78"/>
      <c r="V155" s="78"/>
      <c r="W155" s="78"/>
      <c r="X155" s="78"/>
      <c r="Y155" s="78"/>
      <c r="Z155" s="78"/>
      <c r="AA155" s="78"/>
      <c r="AC155" s="588"/>
      <c r="AD155" s="588"/>
      <c r="AE155" s="588"/>
      <c r="AF155" s="588"/>
      <c r="AG155" s="588"/>
    </row>
    <row r="156" spans="1:33">
      <c r="A156" s="320">
        <v>14</v>
      </c>
      <c r="B156" s="543">
        <v>3</v>
      </c>
      <c r="C156" s="544">
        <v>1</v>
      </c>
      <c r="D156" s="619">
        <f t="shared" si="36"/>
        <v>628.56000000000006</v>
      </c>
      <c r="E156" s="545"/>
      <c r="F156" s="97"/>
      <c r="G156" s="97"/>
      <c r="H156" s="97"/>
      <c r="I156" s="97"/>
      <c r="J156" s="97"/>
      <c r="K156" s="97"/>
      <c r="L156" s="588"/>
      <c r="M156" s="78"/>
      <c r="N156" s="78"/>
      <c r="O156" s="78"/>
      <c r="S156" s="78"/>
      <c r="T156" s="78"/>
      <c r="U156" s="78"/>
      <c r="V156" s="78"/>
      <c r="W156" s="78"/>
      <c r="X156" s="78"/>
      <c r="Y156" s="78"/>
      <c r="Z156" s="78"/>
      <c r="AA156" s="78"/>
      <c r="AC156" s="588"/>
      <c r="AD156" s="588"/>
      <c r="AE156" s="588"/>
      <c r="AF156" s="588"/>
      <c r="AG156" s="588"/>
    </row>
    <row r="157" spans="1:33">
      <c r="A157" s="320">
        <v>16</v>
      </c>
      <c r="B157" s="543">
        <v>3</v>
      </c>
      <c r="C157" s="544">
        <v>1</v>
      </c>
      <c r="D157" s="619">
        <f t="shared" si="36"/>
        <v>628.56000000000006</v>
      </c>
      <c r="E157" s="545"/>
      <c r="F157" s="97"/>
      <c r="G157" s="97"/>
      <c r="H157" s="97"/>
      <c r="I157" s="97"/>
      <c r="J157" s="97"/>
      <c r="K157" s="97"/>
      <c r="L157" s="588"/>
      <c r="M157" s="78"/>
      <c r="N157" s="78"/>
      <c r="O157" s="78"/>
      <c r="S157" s="78"/>
      <c r="T157" s="78"/>
      <c r="U157" s="78"/>
      <c r="V157" s="78"/>
      <c r="W157" s="78"/>
      <c r="X157" s="78"/>
      <c r="Y157" s="78"/>
      <c r="Z157" s="78"/>
      <c r="AA157" s="78"/>
      <c r="AC157" s="588"/>
      <c r="AD157" s="588"/>
      <c r="AE157" s="588"/>
      <c r="AF157" s="588"/>
      <c r="AG157" s="588"/>
    </row>
    <row r="158" spans="1:33">
      <c r="A158" s="320">
        <v>18</v>
      </c>
      <c r="B158" s="543">
        <v>3</v>
      </c>
      <c r="C158" s="544">
        <v>1</v>
      </c>
      <c r="D158" s="619">
        <f t="shared" si="36"/>
        <v>628.56000000000006</v>
      </c>
      <c r="E158" s="545"/>
      <c r="F158" s="97"/>
      <c r="G158" s="97"/>
      <c r="H158" s="97"/>
      <c r="I158" s="97"/>
      <c r="J158" s="97"/>
      <c r="K158" s="97"/>
      <c r="L158" s="588"/>
      <c r="M158" s="78"/>
      <c r="N158" s="78"/>
      <c r="O158" s="78"/>
      <c r="S158" s="78"/>
      <c r="T158" s="78"/>
      <c r="U158" s="78"/>
      <c r="V158" s="78"/>
      <c r="W158" s="78"/>
      <c r="X158" s="78"/>
      <c r="Y158" s="78"/>
      <c r="Z158" s="78"/>
      <c r="AA158" s="78"/>
      <c r="AC158" s="588"/>
      <c r="AD158" s="588"/>
      <c r="AE158" s="588"/>
      <c r="AF158" s="588"/>
      <c r="AG158" s="588"/>
    </row>
    <row r="159" spans="1:33">
      <c r="A159" s="320">
        <v>20</v>
      </c>
      <c r="B159" s="543">
        <v>5</v>
      </c>
      <c r="C159" s="544">
        <v>1</v>
      </c>
      <c r="D159" s="619">
        <f t="shared" si="36"/>
        <v>1047.6000000000001</v>
      </c>
      <c r="E159" s="545"/>
      <c r="F159" s="97"/>
      <c r="G159" s="97"/>
      <c r="H159" s="97"/>
      <c r="I159" s="97"/>
      <c r="J159" s="97"/>
      <c r="K159" s="97"/>
      <c r="L159" s="588"/>
      <c r="M159" s="78"/>
      <c r="N159" s="78"/>
      <c r="O159" s="78"/>
      <c r="S159" s="78"/>
      <c r="T159" s="78"/>
      <c r="U159" s="78"/>
      <c r="V159" s="78"/>
      <c r="W159" s="78"/>
      <c r="X159" s="78"/>
      <c r="Y159" s="78"/>
      <c r="Z159" s="78"/>
      <c r="AA159" s="78"/>
      <c r="AC159" s="588"/>
      <c r="AD159" s="588"/>
      <c r="AE159" s="588"/>
      <c r="AF159" s="588"/>
      <c r="AG159" s="588"/>
    </row>
    <row r="160" spans="1:33" ht="13.5" thickBot="1">
      <c r="A160" s="321">
        <v>22</v>
      </c>
      <c r="B160" s="546">
        <v>5</v>
      </c>
      <c r="C160" s="547">
        <v>0.8</v>
      </c>
      <c r="D160" s="620">
        <f t="shared" si="36"/>
        <v>838.08000000000015</v>
      </c>
      <c r="E160" s="548"/>
      <c r="F160" s="97"/>
      <c r="G160" s="97"/>
      <c r="H160" s="97"/>
      <c r="I160" s="97"/>
      <c r="J160" s="97"/>
      <c r="K160" s="97"/>
      <c r="L160" s="588"/>
      <c r="M160" s="78"/>
      <c r="N160" s="78"/>
      <c r="O160" s="78"/>
      <c r="S160" s="78"/>
      <c r="T160" s="78"/>
      <c r="U160" s="78"/>
      <c r="V160" s="78"/>
      <c r="W160" s="78"/>
      <c r="X160" s="78"/>
      <c r="Y160" s="78"/>
      <c r="Z160" s="78"/>
      <c r="AA160" s="78"/>
      <c r="AC160" s="588"/>
      <c r="AD160" s="588"/>
      <c r="AE160" s="588"/>
      <c r="AF160" s="588"/>
      <c r="AG160" s="588"/>
    </row>
    <row r="161" spans="1:33">
      <c r="A161" s="97"/>
      <c r="B161" s="97"/>
      <c r="C161" s="97"/>
      <c r="D161" s="221"/>
      <c r="E161" s="97"/>
      <c r="F161" s="97"/>
      <c r="G161" s="97"/>
      <c r="H161" s="97"/>
      <c r="I161" s="97"/>
      <c r="J161" s="97"/>
      <c r="K161" s="97"/>
      <c r="L161" s="588"/>
      <c r="M161" s="78"/>
      <c r="N161" s="78"/>
      <c r="O161" s="78"/>
      <c r="S161" s="78"/>
      <c r="T161" s="78"/>
      <c r="U161" s="78"/>
      <c r="V161" s="78"/>
      <c r="W161" s="78"/>
      <c r="X161" s="78"/>
      <c r="Y161" s="78"/>
      <c r="Z161" s="78"/>
      <c r="AA161" s="78"/>
      <c r="AC161" s="588"/>
      <c r="AD161" s="588"/>
      <c r="AE161" s="588"/>
      <c r="AF161" s="588"/>
      <c r="AG161" s="588"/>
    </row>
    <row r="162" spans="1:33">
      <c r="A162" s="97" t="s">
        <v>452</v>
      </c>
      <c r="B162" s="97"/>
      <c r="C162" s="97"/>
      <c r="D162" s="221">
        <f>SUM(D149:D160)</f>
        <v>9700.7760000000017</v>
      </c>
      <c r="E162" s="97" t="s">
        <v>453</v>
      </c>
      <c r="F162" s="97"/>
      <c r="G162" s="97"/>
      <c r="H162" s="97"/>
      <c r="I162" s="97"/>
      <c r="J162" s="97"/>
      <c r="K162" s="97"/>
      <c r="L162" s="588"/>
      <c r="M162" s="78"/>
      <c r="N162" s="78"/>
      <c r="O162" s="78"/>
      <c r="P162" s="283"/>
      <c r="Q162" s="284"/>
      <c r="R162" s="283"/>
      <c r="S162" s="78"/>
      <c r="T162" s="78"/>
      <c r="U162" s="78"/>
      <c r="V162" s="78"/>
      <c r="W162" s="78"/>
      <c r="X162" s="78"/>
      <c r="Y162" s="78"/>
      <c r="Z162" s="78"/>
      <c r="AA162" s="78"/>
      <c r="AC162" s="588"/>
      <c r="AD162" s="588"/>
      <c r="AE162" s="588"/>
      <c r="AF162" s="588"/>
      <c r="AG162" s="588"/>
    </row>
    <row r="163" spans="1:33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588"/>
      <c r="M163" s="78"/>
      <c r="N163" s="78"/>
      <c r="O163" s="78"/>
      <c r="P163" s="283"/>
      <c r="Q163" s="284"/>
      <c r="R163" s="283"/>
      <c r="S163" s="78"/>
      <c r="T163" s="78"/>
      <c r="U163" s="78"/>
      <c r="V163" s="78"/>
      <c r="W163" s="78"/>
      <c r="X163" s="78"/>
      <c r="Y163" s="78"/>
      <c r="Z163" s="78"/>
      <c r="AA163" s="78"/>
      <c r="AC163" s="588"/>
      <c r="AD163" s="588"/>
      <c r="AE163" s="588"/>
      <c r="AF163" s="588"/>
      <c r="AG163" s="588"/>
    </row>
    <row r="164" spans="1:33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588"/>
      <c r="M164" s="78"/>
      <c r="N164" s="78"/>
      <c r="O164" s="78"/>
      <c r="P164" s="283"/>
      <c r="Q164" s="284"/>
      <c r="R164" s="283"/>
      <c r="S164" s="78"/>
      <c r="T164" s="78"/>
      <c r="U164" s="78"/>
      <c r="V164" s="78"/>
      <c r="W164" s="78"/>
      <c r="X164" s="78"/>
      <c r="Y164" s="78"/>
      <c r="Z164" s="78"/>
      <c r="AA164" s="78"/>
      <c r="AC164" s="588"/>
      <c r="AD164" s="588"/>
      <c r="AE164" s="588"/>
      <c r="AF164" s="588"/>
      <c r="AG164" s="588"/>
    </row>
    <row r="165" spans="1:33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588"/>
      <c r="M165" s="78"/>
      <c r="N165" s="78"/>
      <c r="O165" s="78"/>
      <c r="P165" s="283"/>
      <c r="Q165" s="284"/>
      <c r="R165" s="283"/>
      <c r="S165" s="78"/>
      <c r="T165" s="78"/>
      <c r="U165" s="78"/>
      <c r="V165" s="78"/>
      <c r="W165" s="78"/>
      <c r="X165" s="78"/>
      <c r="Y165" s="78"/>
      <c r="Z165" s="78"/>
      <c r="AA165" s="78"/>
      <c r="AC165" s="588"/>
      <c r="AD165" s="588"/>
      <c r="AE165" s="588"/>
      <c r="AF165" s="588"/>
      <c r="AG165" s="588"/>
    </row>
    <row r="166" spans="1:33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588"/>
      <c r="M166" s="78"/>
      <c r="N166" s="78"/>
      <c r="O166" s="78"/>
      <c r="P166" s="283"/>
      <c r="Q166" s="284"/>
      <c r="R166" s="283"/>
      <c r="S166" s="78"/>
      <c r="T166" s="78"/>
      <c r="U166" s="78"/>
      <c r="V166" s="78"/>
      <c r="W166" s="78"/>
      <c r="X166" s="78"/>
      <c r="Y166" s="78"/>
      <c r="Z166" s="78"/>
      <c r="AA166" s="78"/>
      <c r="AC166" s="588"/>
      <c r="AD166" s="588"/>
      <c r="AE166" s="588"/>
      <c r="AF166" s="588"/>
      <c r="AG166" s="588"/>
    </row>
    <row r="167" spans="1:33">
      <c r="A167" s="97" t="s">
        <v>258</v>
      </c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588"/>
      <c r="M167" s="78"/>
      <c r="N167" s="78"/>
      <c r="O167" s="78"/>
      <c r="P167" s="283"/>
      <c r="Q167" s="284"/>
      <c r="R167" s="283"/>
      <c r="S167" s="78"/>
      <c r="T167" s="78"/>
      <c r="U167" s="78"/>
      <c r="V167" s="78"/>
      <c r="W167" s="78"/>
      <c r="X167" s="78"/>
      <c r="Y167" s="78"/>
      <c r="Z167" s="78"/>
      <c r="AA167" s="78"/>
      <c r="AC167" s="588"/>
      <c r="AD167" s="588"/>
      <c r="AE167" s="588"/>
      <c r="AF167" s="588"/>
      <c r="AG167" s="588"/>
    </row>
    <row r="168" spans="1:33" ht="13.5" thickBot="1">
      <c r="A168" s="128"/>
      <c r="B168" s="127" t="s">
        <v>540</v>
      </c>
      <c r="C168" s="561" t="s">
        <v>542</v>
      </c>
      <c r="D168" s="127" t="s">
        <v>541</v>
      </c>
      <c r="E168" s="562" t="s">
        <v>543</v>
      </c>
      <c r="F168" s="128"/>
      <c r="G168" s="97"/>
      <c r="H168" s="97"/>
      <c r="I168" s="97"/>
      <c r="J168" s="97"/>
      <c r="K168" s="97"/>
      <c r="L168" s="588"/>
      <c r="M168" s="78"/>
      <c r="N168" s="78"/>
      <c r="O168" s="78"/>
      <c r="P168" s="283"/>
      <c r="Q168" s="284"/>
      <c r="R168" s="283"/>
      <c r="S168" s="78"/>
      <c r="T168" s="78"/>
      <c r="U168" s="78"/>
      <c r="V168" s="78"/>
      <c r="W168" s="78"/>
      <c r="X168" s="78"/>
      <c r="Y168" s="78"/>
      <c r="Z168" s="78"/>
      <c r="AA168" s="78"/>
      <c r="AC168" s="588"/>
      <c r="AD168" s="588"/>
      <c r="AE168" s="588"/>
      <c r="AF168" s="588"/>
      <c r="AG168" s="588"/>
    </row>
    <row r="169" spans="1:33" ht="13.5" thickBot="1">
      <c r="A169" s="542" t="s">
        <v>187</v>
      </c>
      <c r="B169" s="539" t="s">
        <v>275</v>
      </c>
      <c r="C169" s="549">
        <v>18</v>
      </c>
      <c r="D169" s="539" t="s">
        <v>275</v>
      </c>
      <c r="E169" s="549">
        <v>20</v>
      </c>
      <c r="F169" s="542" t="s">
        <v>278</v>
      </c>
      <c r="G169" s="97"/>
      <c r="H169" s="97" t="s">
        <v>456</v>
      </c>
      <c r="I169" s="97"/>
      <c r="J169" s="97"/>
      <c r="K169" s="97"/>
      <c r="L169" s="588"/>
      <c r="M169" s="78"/>
      <c r="N169" s="78"/>
      <c r="O169" s="78"/>
      <c r="P169" s="283"/>
      <c r="Q169" s="284"/>
      <c r="R169" s="283"/>
      <c r="S169" s="78"/>
      <c r="T169" s="78"/>
      <c r="U169" s="78"/>
      <c r="V169" s="78"/>
      <c r="W169" s="78"/>
      <c r="X169" s="78"/>
      <c r="Y169" s="78"/>
      <c r="Z169" s="78"/>
      <c r="AA169" s="78"/>
      <c r="AC169" s="588"/>
      <c r="AD169" s="588"/>
      <c r="AE169" s="588"/>
      <c r="AF169" s="588"/>
      <c r="AG169" s="588"/>
    </row>
    <row r="170" spans="1:33" ht="13.5" thickBot="1">
      <c r="A170" s="548"/>
      <c r="B170" s="550" t="s">
        <v>544</v>
      </c>
      <c r="C170" s="541" t="s">
        <v>276</v>
      </c>
      <c r="D170" s="550" t="s">
        <v>544</v>
      </c>
      <c r="E170" s="541" t="s">
        <v>276</v>
      </c>
      <c r="F170" s="548" t="s">
        <v>277</v>
      </c>
      <c r="G170" s="97"/>
      <c r="H170" s="97" t="s">
        <v>457</v>
      </c>
      <c r="I170" s="97"/>
      <c r="J170" s="97"/>
      <c r="K170" s="97"/>
      <c r="L170" s="588"/>
      <c r="M170" s="78"/>
      <c r="N170" s="78"/>
      <c r="O170" s="78"/>
      <c r="P170" s="283"/>
      <c r="Q170" s="284"/>
      <c r="R170" s="283"/>
      <c r="S170" s="78"/>
      <c r="T170" s="78"/>
      <c r="U170" s="78"/>
      <c r="V170" s="78"/>
      <c r="W170" s="78"/>
      <c r="X170" s="78"/>
      <c r="Y170" s="78"/>
      <c r="Z170" s="78"/>
      <c r="AA170" s="78"/>
      <c r="AC170" s="588"/>
      <c r="AD170" s="588"/>
      <c r="AE170" s="588"/>
      <c r="AF170" s="588"/>
      <c r="AG170" s="588"/>
    </row>
    <row r="171" spans="1:33">
      <c r="A171" s="545">
        <v>0</v>
      </c>
      <c r="B171" s="551">
        <v>0</v>
      </c>
      <c r="C171" s="545">
        <f>+$C$169*B171*2</f>
        <v>0</v>
      </c>
      <c r="D171" s="551">
        <v>1</v>
      </c>
      <c r="E171" s="545">
        <f>+$E$169*D171*2</f>
        <v>40</v>
      </c>
      <c r="F171" s="545">
        <f>SUM(E171+C171)</f>
        <v>40</v>
      </c>
      <c r="G171" s="97"/>
      <c r="H171" s="97"/>
      <c r="I171" s="97"/>
      <c r="J171" s="97"/>
      <c r="K171" s="97"/>
      <c r="L171" s="588"/>
      <c r="M171" s="78"/>
      <c r="N171" s="78"/>
      <c r="O171" s="78"/>
      <c r="P171" s="283"/>
      <c r="Q171" s="284"/>
      <c r="R171" s="283"/>
      <c r="S171" s="78"/>
      <c r="T171" s="78"/>
      <c r="U171" s="78"/>
      <c r="V171" s="78"/>
      <c r="W171" s="78"/>
      <c r="X171" s="78"/>
      <c r="Y171" s="78"/>
      <c r="Z171" s="78"/>
      <c r="AA171" s="78"/>
      <c r="AC171" s="588"/>
      <c r="AD171" s="588"/>
      <c r="AE171" s="588"/>
      <c r="AF171" s="588"/>
      <c r="AG171" s="588"/>
    </row>
    <row r="172" spans="1:33">
      <c r="A172" s="545">
        <v>2</v>
      </c>
      <c r="B172" s="551">
        <v>0</v>
      </c>
      <c r="C172" s="545">
        <f t="shared" ref="C172:C181" si="37">+$C$169*B172*2</f>
        <v>0</v>
      </c>
      <c r="D172" s="551">
        <v>1</v>
      </c>
      <c r="E172" s="545">
        <f t="shared" ref="E172:E182" si="38">+$E$169*D172*2</f>
        <v>40</v>
      </c>
      <c r="F172" s="545">
        <f t="shared" ref="F172:F182" si="39">SUM(E172+C172)</f>
        <v>40</v>
      </c>
      <c r="G172" s="97"/>
      <c r="H172" s="97" t="s">
        <v>458</v>
      </c>
      <c r="I172" s="97"/>
      <c r="J172" s="97"/>
      <c r="K172" s="97"/>
      <c r="L172" s="588"/>
      <c r="M172" s="78"/>
      <c r="N172" s="78"/>
      <c r="O172" s="78"/>
      <c r="P172" s="283"/>
      <c r="Q172" s="284"/>
      <c r="R172" s="283"/>
      <c r="S172" s="78"/>
      <c r="T172" s="78"/>
      <c r="U172" s="78"/>
      <c r="V172" s="78"/>
      <c r="W172" s="78"/>
      <c r="X172" s="78"/>
      <c r="Y172" s="78"/>
      <c r="Z172" s="78"/>
      <c r="AA172" s="78"/>
      <c r="AC172" s="588"/>
      <c r="AD172" s="588"/>
      <c r="AE172" s="588"/>
      <c r="AF172" s="588"/>
      <c r="AG172" s="588"/>
    </row>
    <row r="173" spans="1:33">
      <c r="A173" s="545">
        <v>4</v>
      </c>
      <c r="B173" s="551">
        <v>0</v>
      </c>
      <c r="C173" s="545">
        <f t="shared" si="37"/>
        <v>0</v>
      </c>
      <c r="D173" s="551">
        <v>1</v>
      </c>
      <c r="E173" s="545">
        <f t="shared" si="38"/>
        <v>40</v>
      </c>
      <c r="F173" s="545">
        <f t="shared" si="39"/>
        <v>40</v>
      </c>
      <c r="G173" s="97"/>
      <c r="H173" s="97" t="s">
        <v>459</v>
      </c>
      <c r="I173" s="97"/>
      <c r="J173" s="97"/>
      <c r="K173" s="97"/>
      <c r="L173" s="588"/>
      <c r="M173" s="78"/>
      <c r="N173" s="78"/>
      <c r="O173" s="78"/>
      <c r="P173" s="283"/>
      <c r="Q173" s="284"/>
      <c r="R173" s="283"/>
      <c r="S173" s="78"/>
      <c r="T173" s="78"/>
      <c r="U173" s="78"/>
      <c r="V173" s="78"/>
      <c r="W173" s="78"/>
      <c r="X173" s="78"/>
      <c r="Y173" s="78"/>
      <c r="Z173" s="78"/>
      <c r="AA173" s="78"/>
      <c r="AC173" s="588"/>
      <c r="AD173" s="588"/>
      <c r="AE173" s="588"/>
      <c r="AF173" s="588"/>
      <c r="AG173" s="588"/>
    </row>
    <row r="174" spans="1:33">
      <c r="A174" s="545">
        <v>6</v>
      </c>
      <c r="B174" s="551">
        <v>0</v>
      </c>
      <c r="C174" s="545">
        <f t="shared" si="37"/>
        <v>0</v>
      </c>
      <c r="D174" s="551">
        <v>1</v>
      </c>
      <c r="E174" s="545">
        <f t="shared" si="38"/>
        <v>40</v>
      </c>
      <c r="F174" s="545">
        <f t="shared" si="39"/>
        <v>40</v>
      </c>
      <c r="G174" s="97"/>
      <c r="H174" s="97" t="s">
        <v>460</v>
      </c>
      <c r="I174" s="97"/>
      <c r="J174" s="97"/>
      <c r="K174" s="97"/>
      <c r="L174" s="588"/>
      <c r="M174" s="78"/>
      <c r="N174" s="78"/>
      <c r="O174" s="78"/>
      <c r="P174" s="92"/>
      <c r="Q174" s="92"/>
      <c r="R174" s="92"/>
      <c r="S174" s="78"/>
      <c r="T174" s="78"/>
      <c r="U174" s="78"/>
      <c r="V174" s="78"/>
      <c r="W174" s="78"/>
      <c r="X174" s="78"/>
      <c r="Y174" s="78"/>
      <c r="Z174" s="78"/>
      <c r="AA174" s="78"/>
      <c r="AC174" s="588"/>
      <c r="AD174" s="588"/>
      <c r="AE174" s="588"/>
      <c r="AF174" s="588"/>
      <c r="AG174" s="588"/>
    </row>
    <row r="175" spans="1:33">
      <c r="A175" s="545">
        <v>8</v>
      </c>
      <c r="B175" s="551">
        <v>3</v>
      </c>
      <c r="C175" s="545">
        <f t="shared" si="37"/>
        <v>108</v>
      </c>
      <c r="D175" s="551">
        <v>0</v>
      </c>
      <c r="E175" s="545">
        <f t="shared" si="38"/>
        <v>0</v>
      </c>
      <c r="F175" s="545">
        <f t="shared" si="39"/>
        <v>108</v>
      </c>
      <c r="G175" s="97"/>
      <c r="H175" s="97"/>
      <c r="I175" s="97"/>
      <c r="J175" s="97"/>
      <c r="K175" s="97"/>
      <c r="L175" s="58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C175" s="588"/>
      <c r="AD175" s="588"/>
      <c r="AE175" s="588"/>
      <c r="AF175" s="588"/>
      <c r="AG175" s="588"/>
    </row>
    <row r="176" spans="1:33">
      <c r="A176" s="545">
        <v>10</v>
      </c>
      <c r="B176" s="551">
        <v>2</v>
      </c>
      <c r="C176" s="545">
        <f t="shared" si="37"/>
        <v>72</v>
      </c>
      <c r="D176" s="551">
        <v>0</v>
      </c>
      <c r="E176" s="545">
        <f t="shared" si="38"/>
        <v>0</v>
      </c>
      <c r="F176" s="545">
        <f t="shared" si="39"/>
        <v>72</v>
      </c>
      <c r="G176" s="97"/>
      <c r="H176" s="97" t="s">
        <v>461</v>
      </c>
      <c r="I176" s="97"/>
      <c r="J176" s="97"/>
      <c r="K176" s="97"/>
      <c r="L176" s="58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C176" s="588"/>
      <c r="AD176" s="588"/>
      <c r="AE176" s="588"/>
      <c r="AF176" s="588"/>
      <c r="AG176" s="588"/>
    </row>
    <row r="177" spans="1:33">
      <c r="A177" s="545">
        <v>12</v>
      </c>
      <c r="B177" s="551">
        <v>0</v>
      </c>
      <c r="C177" s="545">
        <f t="shared" si="37"/>
        <v>0</v>
      </c>
      <c r="D177" s="551">
        <v>0</v>
      </c>
      <c r="E177" s="545">
        <f t="shared" si="38"/>
        <v>0</v>
      </c>
      <c r="F177" s="545">
        <f t="shared" si="39"/>
        <v>0</v>
      </c>
      <c r="G177" s="97"/>
      <c r="H177" s="97" t="s">
        <v>462</v>
      </c>
      <c r="I177" s="97"/>
      <c r="J177" s="97"/>
      <c r="K177" s="97"/>
      <c r="L177" s="58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C177" s="588"/>
      <c r="AD177" s="588"/>
      <c r="AE177" s="588"/>
      <c r="AF177" s="588"/>
      <c r="AG177" s="588"/>
    </row>
    <row r="178" spans="1:33">
      <c r="A178" s="545">
        <v>14</v>
      </c>
      <c r="B178" s="551">
        <v>0</v>
      </c>
      <c r="C178" s="545">
        <f t="shared" si="37"/>
        <v>0</v>
      </c>
      <c r="D178" s="551">
        <v>0</v>
      </c>
      <c r="E178" s="545">
        <f t="shared" si="38"/>
        <v>0</v>
      </c>
      <c r="F178" s="545">
        <f t="shared" si="39"/>
        <v>0</v>
      </c>
      <c r="G178" s="97"/>
      <c r="H178" s="97"/>
      <c r="I178" s="97"/>
      <c r="J178" s="97"/>
      <c r="K178" s="97"/>
      <c r="L178" s="58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C178" s="588"/>
      <c r="AD178" s="588"/>
      <c r="AE178" s="588"/>
      <c r="AF178" s="588"/>
      <c r="AG178" s="588"/>
    </row>
    <row r="179" spans="1:33">
      <c r="A179" s="545">
        <v>16</v>
      </c>
      <c r="B179" s="551">
        <v>0</v>
      </c>
      <c r="C179" s="545">
        <f t="shared" si="37"/>
        <v>0</v>
      </c>
      <c r="D179" s="551">
        <v>0</v>
      </c>
      <c r="E179" s="545">
        <f t="shared" si="38"/>
        <v>0</v>
      </c>
      <c r="F179" s="545">
        <f t="shared" si="39"/>
        <v>0</v>
      </c>
      <c r="G179" s="97"/>
      <c r="H179" s="286" t="s">
        <v>663</v>
      </c>
      <c r="I179" s="97"/>
      <c r="J179" s="97"/>
      <c r="K179" s="97"/>
      <c r="L179" s="58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C179" s="588"/>
      <c r="AD179" s="588"/>
      <c r="AE179" s="588"/>
      <c r="AF179" s="588"/>
      <c r="AG179" s="588"/>
    </row>
    <row r="180" spans="1:33">
      <c r="A180" s="545">
        <v>18</v>
      </c>
      <c r="B180" s="551">
        <v>2</v>
      </c>
      <c r="C180" s="545">
        <f t="shared" si="37"/>
        <v>72</v>
      </c>
      <c r="D180" s="551">
        <v>0</v>
      </c>
      <c r="E180" s="545">
        <f t="shared" si="38"/>
        <v>0</v>
      </c>
      <c r="F180" s="545">
        <f t="shared" si="39"/>
        <v>72</v>
      </c>
      <c r="G180" s="97"/>
      <c r="H180" s="286" t="s">
        <v>664</v>
      </c>
      <c r="I180" s="97"/>
      <c r="J180" s="97"/>
      <c r="K180" s="97"/>
      <c r="L180" s="58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C180" s="588"/>
      <c r="AD180" s="588"/>
      <c r="AE180" s="588"/>
      <c r="AF180" s="588"/>
      <c r="AG180" s="588"/>
    </row>
    <row r="181" spans="1:33" s="585" customFormat="1">
      <c r="A181" s="545">
        <v>20</v>
      </c>
      <c r="B181" s="551">
        <v>2</v>
      </c>
      <c r="C181" s="545">
        <f t="shared" si="37"/>
        <v>72</v>
      </c>
      <c r="D181" s="551">
        <v>1</v>
      </c>
      <c r="E181" s="545">
        <f t="shared" si="38"/>
        <v>40</v>
      </c>
      <c r="F181" s="545">
        <f t="shared" si="39"/>
        <v>112</v>
      </c>
      <c r="G181" s="587"/>
      <c r="H181" s="286"/>
      <c r="I181" s="587"/>
      <c r="J181" s="587"/>
      <c r="K181" s="587"/>
      <c r="L181" s="58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C181" s="588"/>
      <c r="AD181" s="588"/>
      <c r="AE181" s="588"/>
      <c r="AF181" s="588"/>
      <c r="AG181" s="588"/>
    </row>
    <row r="182" spans="1:33" ht="13.5" thickBot="1">
      <c r="A182" s="548">
        <v>22</v>
      </c>
      <c r="B182" s="552">
        <v>3</v>
      </c>
      <c r="C182" s="548">
        <f>+$C$169*B182*2</f>
        <v>108</v>
      </c>
      <c r="D182" s="552">
        <v>1</v>
      </c>
      <c r="E182" s="548">
        <f t="shared" si="38"/>
        <v>40</v>
      </c>
      <c r="F182" s="548">
        <f t="shared" si="39"/>
        <v>148</v>
      </c>
      <c r="G182" s="97"/>
      <c r="H182" s="97"/>
      <c r="I182" s="97"/>
      <c r="J182" s="97"/>
      <c r="K182" s="97"/>
      <c r="L182" s="58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C182" s="588"/>
      <c r="AD182" s="588"/>
      <c r="AE182" s="588"/>
      <c r="AF182" s="588"/>
      <c r="AG182" s="588"/>
    </row>
    <row r="183" spans="1:33">
      <c r="A183" s="576" t="s">
        <v>455</v>
      </c>
      <c r="B183" s="128"/>
      <c r="C183" s="128"/>
      <c r="D183" s="128"/>
      <c r="E183" s="128"/>
      <c r="F183" s="128">
        <f>SUM(F171:F182)</f>
        <v>672</v>
      </c>
      <c r="G183" s="97" t="s">
        <v>453</v>
      </c>
      <c r="H183" s="97"/>
      <c r="I183" s="97"/>
      <c r="J183" s="97"/>
      <c r="K183" s="97"/>
      <c r="L183" s="58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C183" s="588"/>
      <c r="AD183" s="588"/>
      <c r="AE183" s="588"/>
      <c r="AF183" s="588"/>
      <c r="AG183" s="588"/>
    </row>
    <row r="184" spans="1:33">
      <c r="A184" s="128"/>
      <c r="B184" s="128"/>
      <c r="C184" s="128"/>
      <c r="D184" s="128"/>
      <c r="E184" s="128"/>
      <c r="F184" s="128"/>
      <c r="G184" s="97"/>
      <c r="H184" s="97"/>
      <c r="I184" s="97"/>
      <c r="J184" s="97"/>
      <c r="K184" s="97"/>
      <c r="L184" s="58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C184" s="588"/>
      <c r="AD184" s="588"/>
      <c r="AE184" s="588"/>
      <c r="AF184" s="588"/>
      <c r="AG184" s="588"/>
    </row>
    <row r="185" spans="1:33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58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C185" s="588"/>
      <c r="AD185" s="588"/>
      <c r="AE185" s="588"/>
      <c r="AF185" s="588"/>
      <c r="AG185" s="588"/>
    </row>
    <row r="186" spans="1:33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58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C186" s="588"/>
      <c r="AD186" s="588"/>
      <c r="AE186" s="588"/>
      <c r="AF186" s="588"/>
      <c r="AG186" s="588"/>
    </row>
    <row r="187" spans="1:33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58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C187" s="588"/>
      <c r="AD187" s="588"/>
      <c r="AE187" s="588"/>
      <c r="AF187" s="588"/>
      <c r="AG187" s="588"/>
    </row>
    <row r="188" spans="1:33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58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C188" s="588"/>
      <c r="AD188" s="588"/>
      <c r="AE188" s="588"/>
      <c r="AF188" s="588"/>
      <c r="AG188" s="588"/>
    </row>
    <row r="189" spans="1:33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58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C189" s="588"/>
      <c r="AD189" s="588"/>
      <c r="AE189" s="588"/>
      <c r="AF189" s="588"/>
      <c r="AG189" s="588"/>
    </row>
    <row r="190" spans="1:33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58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C190" s="588"/>
      <c r="AD190" s="588"/>
      <c r="AE190" s="588"/>
      <c r="AF190" s="588"/>
      <c r="AG190" s="588"/>
    </row>
    <row r="191" spans="1:33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58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C191" s="588"/>
      <c r="AD191" s="588"/>
      <c r="AE191" s="588"/>
      <c r="AF191" s="588"/>
      <c r="AG191" s="588"/>
    </row>
    <row r="192" spans="1:33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58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C192" s="588"/>
      <c r="AD192" s="588"/>
      <c r="AE192" s="588"/>
      <c r="AF192" s="588"/>
      <c r="AG192" s="588"/>
    </row>
    <row r="193" spans="1:33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58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C193" s="588"/>
      <c r="AD193" s="588"/>
      <c r="AE193" s="588"/>
      <c r="AF193" s="588"/>
      <c r="AG193" s="588"/>
    </row>
    <row r="194" spans="1:33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58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C194" s="588"/>
      <c r="AD194" s="588"/>
      <c r="AE194" s="588"/>
      <c r="AF194" s="588"/>
      <c r="AG194" s="588"/>
    </row>
    <row r="195" spans="1:33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C195" s="588"/>
      <c r="AD195" s="588"/>
      <c r="AE195" s="588"/>
      <c r="AF195" s="588"/>
      <c r="AG195" s="588"/>
    </row>
    <row r="196" spans="1:33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C196" s="588"/>
      <c r="AD196" s="588"/>
      <c r="AE196" s="588"/>
      <c r="AF196" s="588"/>
      <c r="AG196" s="588"/>
    </row>
    <row r="197" spans="1:33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C197" s="588"/>
      <c r="AD197" s="588"/>
      <c r="AE197" s="588"/>
      <c r="AF197" s="588"/>
      <c r="AG197" s="588"/>
    </row>
    <row r="198" spans="1:33">
      <c r="A198" s="96" t="s">
        <v>200</v>
      </c>
      <c r="B198" s="97"/>
      <c r="C198" s="97"/>
      <c r="D198" s="97"/>
      <c r="E198" s="97"/>
      <c r="F198" s="97"/>
      <c r="G198" s="97"/>
      <c r="H198" s="97"/>
      <c r="I198" s="97"/>
      <c r="J198" s="97"/>
      <c r="K198" s="58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C198" s="588"/>
      <c r="AD198" s="588"/>
      <c r="AE198" s="588"/>
      <c r="AF198" s="588"/>
      <c r="AG198" s="588"/>
    </row>
    <row r="199" spans="1:33">
      <c r="A199" s="96"/>
      <c r="B199" s="97"/>
      <c r="C199" s="97"/>
      <c r="D199" s="97"/>
      <c r="E199" s="97"/>
      <c r="F199" s="97"/>
      <c r="G199" s="97"/>
      <c r="H199" s="97"/>
      <c r="I199" s="97"/>
      <c r="J199" s="97"/>
      <c r="K199" s="58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C199" s="588"/>
      <c r="AD199" s="588"/>
      <c r="AE199" s="588"/>
      <c r="AF199" s="588"/>
      <c r="AG199" s="588"/>
    </row>
    <row r="200" spans="1:33">
      <c r="A200" s="96" t="s">
        <v>464</v>
      </c>
      <c r="B200" s="97"/>
      <c r="C200" s="97"/>
      <c r="D200" s="97"/>
      <c r="E200" s="97"/>
      <c r="F200" s="97"/>
      <c r="G200" s="97"/>
      <c r="H200" s="97"/>
      <c r="I200" s="97"/>
      <c r="J200" s="97"/>
      <c r="K200" s="58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C200" s="588"/>
      <c r="AD200" s="588"/>
      <c r="AE200" s="588"/>
      <c r="AF200" s="588"/>
      <c r="AG200" s="588"/>
    </row>
    <row r="201" spans="1:33">
      <c r="A201" s="96"/>
      <c r="B201" s="97"/>
      <c r="C201" s="97"/>
      <c r="D201" s="97"/>
      <c r="E201" s="97"/>
      <c r="F201" s="97"/>
      <c r="G201" s="97"/>
      <c r="H201" s="97"/>
      <c r="I201" s="97"/>
      <c r="J201" s="97"/>
      <c r="K201" s="58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C201" s="588"/>
      <c r="AD201" s="588"/>
      <c r="AE201" s="588"/>
      <c r="AF201" s="588"/>
      <c r="AG201" s="588"/>
    </row>
    <row r="202" spans="1:33">
      <c r="A202" s="586" t="s">
        <v>709</v>
      </c>
      <c r="B202" s="97"/>
      <c r="C202" s="97"/>
      <c r="D202" s="97"/>
      <c r="E202" s="97"/>
      <c r="F202" s="97"/>
      <c r="G202" s="97"/>
      <c r="H202" s="97"/>
      <c r="I202" s="97"/>
      <c r="J202" s="97"/>
      <c r="K202" s="58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C202" s="588"/>
      <c r="AD202" s="588"/>
      <c r="AE202" s="588"/>
      <c r="AF202" s="588"/>
      <c r="AG202" s="588"/>
    </row>
    <row r="203" spans="1:33">
      <c r="A203" s="586" t="s">
        <v>710</v>
      </c>
      <c r="B203" s="97"/>
      <c r="C203" s="97"/>
      <c r="D203" s="97"/>
      <c r="E203" s="97"/>
      <c r="F203" s="97"/>
      <c r="G203" s="97"/>
      <c r="H203" s="97"/>
      <c r="I203" s="97"/>
      <c r="J203" s="97"/>
      <c r="K203" s="58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C203" s="588"/>
      <c r="AD203" s="588"/>
      <c r="AE203" s="588"/>
      <c r="AF203" s="588"/>
      <c r="AG203" s="588"/>
    </row>
    <row r="204" spans="1:33">
      <c r="A204" s="96"/>
      <c r="B204" s="97"/>
      <c r="C204" s="97"/>
      <c r="D204" s="97"/>
      <c r="E204" s="97"/>
      <c r="F204" s="97"/>
      <c r="G204" s="97"/>
      <c r="H204" s="97"/>
      <c r="I204" s="97"/>
      <c r="J204" s="97"/>
      <c r="K204" s="58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C204" s="588"/>
      <c r="AD204" s="588"/>
      <c r="AE204" s="588"/>
      <c r="AF204" s="588"/>
      <c r="AG204" s="588"/>
    </row>
    <row r="205" spans="1:33">
      <c r="A205" s="580" t="s">
        <v>708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58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C205" s="588"/>
      <c r="AD205" s="588"/>
      <c r="AE205" s="588"/>
      <c r="AF205" s="588"/>
      <c r="AG205" s="588"/>
    </row>
    <row r="206" spans="1:33">
      <c r="A206" s="96"/>
      <c r="B206" s="97"/>
      <c r="C206" s="97"/>
      <c r="D206" s="97"/>
      <c r="E206" s="97"/>
      <c r="F206" s="97"/>
      <c r="G206" s="97"/>
      <c r="H206" s="97"/>
      <c r="I206" s="97"/>
      <c r="J206" s="97"/>
      <c r="K206" s="58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C206" s="588"/>
      <c r="AD206" s="588"/>
      <c r="AE206" s="588"/>
      <c r="AF206" s="588"/>
      <c r="AG206" s="588"/>
    </row>
    <row r="207" spans="1:33">
      <c r="A207" s="96"/>
      <c r="B207" s="97"/>
      <c r="C207" s="97"/>
      <c r="D207" s="97"/>
      <c r="E207" s="97"/>
      <c r="F207" s="97"/>
      <c r="G207" s="97"/>
      <c r="H207" s="97"/>
      <c r="I207" s="97"/>
      <c r="J207" s="97"/>
      <c r="K207" s="58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C207" s="588"/>
      <c r="AD207" s="588"/>
      <c r="AE207" s="588"/>
      <c r="AF207" s="588"/>
      <c r="AG207" s="588"/>
    </row>
    <row r="208" spans="1:33" ht="13.5" thickBot="1">
      <c r="A208" s="96"/>
      <c r="B208" s="97"/>
      <c r="C208" s="97"/>
      <c r="D208" s="97"/>
      <c r="E208" s="97"/>
      <c r="F208" s="97"/>
      <c r="G208" s="97"/>
      <c r="H208" s="97"/>
      <c r="I208" s="97"/>
      <c r="J208" s="97"/>
      <c r="K208" s="58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C208" s="588"/>
      <c r="AD208" s="588"/>
      <c r="AE208" s="588"/>
      <c r="AF208" s="588"/>
      <c r="AG208" s="588"/>
    </row>
    <row r="209" spans="1:34" ht="13.5" thickBot="1">
      <c r="A209" s="553"/>
      <c r="B209" s="558" t="s">
        <v>257</v>
      </c>
      <c r="C209" s="554"/>
      <c r="D209" s="559" t="s">
        <v>465</v>
      </c>
      <c r="E209" s="555"/>
      <c r="F209" s="560" t="s">
        <v>711</v>
      </c>
      <c r="G209" s="554"/>
      <c r="H209" s="559" t="s">
        <v>712</v>
      </c>
      <c r="I209" s="555"/>
      <c r="J209" s="556" t="s">
        <v>467</v>
      </c>
      <c r="K209" s="58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C209" s="588"/>
      <c r="AD209" s="588"/>
      <c r="AE209" s="588"/>
      <c r="AF209" s="588"/>
      <c r="AG209" s="588"/>
    </row>
    <row r="210" spans="1:34" ht="13.5" thickBot="1">
      <c r="A210" s="545"/>
      <c r="B210" s="312" t="s">
        <v>275</v>
      </c>
      <c r="C210" s="318">
        <v>90</v>
      </c>
      <c r="D210" s="312" t="s">
        <v>275</v>
      </c>
      <c r="E210" s="313">
        <v>1500</v>
      </c>
      <c r="F210" s="316" t="s">
        <v>275</v>
      </c>
      <c r="G210" s="318">
        <v>180</v>
      </c>
      <c r="H210" s="312" t="s">
        <v>275</v>
      </c>
      <c r="I210" s="313">
        <v>22</v>
      </c>
      <c r="J210" s="315" t="s">
        <v>223</v>
      </c>
      <c r="K210" s="58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C210" s="588"/>
      <c r="AD210" s="588"/>
      <c r="AE210" s="588"/>
      <c r="AF210" s="588"/>
      <c r="AG210" s="588"/>
    </row>
    <row r="211" spans="1:34" ht="13.5" thickBot="1">
      <c r="A211" s="557" t="s">
        <v>187</v>
      </c>
      <c r="B211" s="314" t="s">
        <v>545</v>
      </c>
      <c r="C211" s="319" t="s">
        <v>276</v>
      </c>
      <c r="D211" s="314" t="s">
        <v>545</v>
      </c>
      <c r="E211" s="314" t="s">
        <v>276</v>
      </c>
      <c r="F211" s="317" t="s">
        <v>545</v>
      </c>
      <c r="G211" s="319" t="s">
        <v>276</v>
      </c>
      <c r="H211" s="314" t="s">
        <v>545</v>
      </c>
      <c r="I211" s="314" t="s">
        <v>276</v>
      </c>
      <c r="J211" s="555"/>
      <c r="K211" s="58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C211" s="588"/>
      <c r="AD211" s="588"/>
      <c r="AE211" s="588"/>
      <c r="AF211" s="588"/>
      <c r="AG211" s="588"/>
    </row>
    <row r="212" spans="1:34">
      <c r="A212" s="584">
        <v>0</v>
      </c>
      <c r="B212" s="578">
        <v>1</v>
      </c>
      <c r="C212" s="579">
        <f>+$C$210*B212*2</f>
        <v>180</v>
      </c>
      <c r="D212" s="599">
        <v>0</v>
      </c>
      <c r="E212" s="582">
        <f t="shared" ref="E212:E215" si="40">+$E$210*D212*2</f>
        <v>0</v>
      </c>
      <c r="F212" s="599">
        <v>0</v>
      </c>
      <c r="G212" s="579">
        <f>+$G$210*F212*2</f>
        <v>0</v>
      </c>
      <c r="H212" s="599">
        <v>0</v>
      </c>
      <c r="I212" s="579">
        <f>+$I$210*H212*2</f>
        <v>0</v>
      </c>
      <c r="J212" s="600">
        <f>+I212+G212+E212+C212</f>
        <v>180</v>
      </c>
      <c r="K212" s="58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C212" s="588"/>
      <c r="AD212" s="588"/>
      <c r="AE212" s="588"/>
      <c r="AF212" s="588"/>
      <c r="AG212" s="588"/>
    </row>
    <row r="213" spans="1:34">
      <c r="A213" s="583">
        <v>2</v>
      </c>
      <c r="B213" s="601">
        <v>1</v>
      </c>
      <c r="C213" s="582">
        <f t="shared" ref="C213:C223" si="41">+$C$210*B213*2</f>
        <v>180</v>
      </c>
      <c r="D213" s="581">
        <v>0</v>
      </c>
      <c r="E213" s="582">
        <f t="shared" si="40"/>
        <v>0</v>
      </c>
      <c r="F213" s="581">
        <v>0</v>
      </c>
      <c r="G213" s="582">
        <f t="shared" ref="G213:G223" si="42">+$G$210*F213*2</f>
        <v>0</v>
      </c>
      <c r="H213" s="581">
        <v>0</v>
      </c>
      <c r="I213" s="582">
        <f t="shared" ref="I213:I223" si="43">+$I$210*H213*2</f>
        <v>0</v>
      </c>
      <c r="J213" s="602">
        <f>+I213+G213+E213+C213</f>
        <v>180</v>
      </c>
      <c r="K213" s="58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C213" s="588"/>
      <c r="AD213" s="588"/>
      <c r="AE213" s="588"/>
      <c r="AF213" s="588"/>
      <c r="AG213" s="588"/>
    </row>
    <row r="214" spans="1:34">
      <c r="A214" s="583">
        <v>4</v>
      </c>
      <c r="B214" s="601">
        <v>1</v>
      </c>
      <c r="C214" s="582">
        <f t="shared" si="41"/>
        <v>180</v>
      </c>
      <c r="D214" s="581">
        <v>0</v>
      </c>
      <c r="E214" s="582">
        <f t="shared" si="40"/>
        <v>0</v>
      </c>
      <c r="F214" s="581">
        <v>0</v>
      </c>
      <c r="G214" s="582">
        <f t="shared" si="42"/>
        <v>0</v>
      </c>
      <c r="H214" s="581">
        <v>0</v>
      </c>
      <c r="I214" s="582">
        <f t="shared" si="43"/>
        <v>0</v>
      </c>
      <c r="J214" s="602">
        <f t="shared" ref="J214:J223" si="44">+I214+G214+E214+C214</f>
        <v>180</v>
      </c>
      <c r="K214" s="58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C214" s="588"/>
      <c r="AD214" s="588"/>
      <c r="AE214" s="588"/>
      <c r="AF214" s="588"/>
      <c r="AG214" s="588"/>
    </row>
    <row r="215" spans="1:34">
      <c r="A215" s="583">
        <v>6</v>
      </c>
      <c r="B215" s="601">
        <v>1</v>
      </c>
      <c r="C215" s="582">
        <f t="shared" si="41"/>
        <v>180</v>
      </c>
      <c r="D215" s="581">
        <v>0</v>
      </c>
      <c r="E215" s="582">
        <f t="shared" si="40"/>
        <v>0</v>
      </c>
      <c r="F215" s="581">
        <v>1</v>
      </c>
      <c r="G215" s="582">
        <f t="shared" si="42"/>
        <v>360</v>
      </c>
      <c r="H215" s="581">
        <v>2</v>
      </c>
      <c r="I215" s="582">
        <f t="shared" si="43"/>
        <v>88</v>
      </c>
      <c r="J215" s="602">
        <f t="shared" si="44"/>
        <v>628</v>
      </c>
      <c r="K215" s="58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C215" s="588"/>
      <c r="AD215" s="588"/>
      <c r="AE215" s="588"/>
      <c r="AF215" s="588"/>
      <c r="AG215" s="588"/>
    </row>
    <row r="216" spans="1:34">
      <c r="A216" s="583">
        <v>8</v>
      </c>
      <c r="B216" s="601">
        <v>1</v>
      </c>
      <c r="C216" s="582">
        <f>+$C$210*B216*2</f>
        <v>180</v>
      </c>
      <c r="D216" s="581">
        <v>0.125</v>
      </c>
      <c r="E216" s="582">
        <f>+$E$210*D216*2</f>
        <v>375</v>
      </c>
      <c r="F216" s="581">
        <v>0</v>
      </c>
      <c r="G216" s="582">
        <f t="shared" si="42"/>
        <v>0</v>
      </c>
      <c r="H216" s="581">
        <v>2</v>
      </c>
      <c r="I216" s="582">
        <f t="shared" si="43"/>
        <v>88</v>
      </c>
      <c r="J216" s="602">
        <f t="shared" si="44"/>
        <v>643</v>
      </c>
      <c r="K216" s="58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C216" s="588"/>
      <c r="AD216" s="588"/>
      <c r="AE216" s="588"/>
      <c r="AF216" s="588"/>
      <c r="AG216" s="588"/>
    </row>
    <row r="217" spans="1:34">
      <c r="A217" s="583">
        <v>10</v>
      </c>
      <c r="B217" s="601">
        <v>1</v>
      </c>
      <c r="C217" s="582">
        <f t="shared" si="41"/>
        <v>180</v>
      </c>
      <c r="D217" s="581">
        <v>0</v>
      </c>
      <c r="E217" s="582">
        <f t="shared" ref="E217:E223" si="45">+$E$210*D217*2</f>
        <v>0</v>
      </c>
      <c r="F217" s="581">
        <v>0</v>
      </c>
      <c r="G217" s="582">
        <f t="shared" si="42"/>
        <v>0</v>
      </c>
      <c r="H217" s="581">
        <v>2</v>
      </c>
      <c r="I217" s="582">
        <f t="shared" si="43"/>
        <v>88</v>
      </c>
      <c r="J217" s="602">
        <f t="shared" si="44"/>
        <v>268</v>
      </c>
      <c r="K217" s="58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C217" s="588"/>
      <c r="AD217" s="588"/>
      <c r="AE217" s="588"/>
      <c r="AF217" s="588"/>
      <c r="AG217" s="588"/>
    </row>
    <row r="218" spans="1:34">
      <c r="A218" s="583">
        <v>12</v>
      </c>
      <c r="B218" s="601">
        <v>1</v>
      </c>
      <c r="C218" s="582">
        <f t="shared" si="41"/>
        <v>180</v>
      </c>
      <c r="D218" s="581">
        <v>0.5</v>
      </c>
      <c r="E218" s="582">
        <f t="shared" si="45"/>
        <v>1500</v>
      </c>
      <c r="F218" s="581">
        <v>0</v>
      </c>
      <c r="G218" s="582">
        <f t="shared" si="42"/>
        <v>0</v>
      </c>
      <c r="H218" s="581">
        <v>2</v>
      </c>
      <c r="I218" s="582">
        <f t="shared" si="43"/>
        <v>88</v>
      </c>
      <c r="J218" s="602">
        <f t="shared" si="44"/>
        <v>1768</v>
      </c>
      <c r="K218" s="58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C218" s="588"/>
      <c r="AD218" s="588"/>
      <c r="AE218" s="588"/>
      <c r="AF218" s="588"/>
      <c r="AG218" s="588"/>
    </row>
    <row r="219" spans="1:34">
      <c r="A219" s="583">
        <v>14</v>
      </c>
      <c r="B219" s="601">
        <v>1</v>
      </c>
      <c r="C219" s="582">
        <f t="shared" si="41"/>
        <v>180</v>
      </c>
      <c r="D219" s="581">
        <v>0</v>
      </c>
      <c r="E219" s="582">
        <f t="shared" si="45"/>
        <v>0</v>
      </c>
      <c r="F219" s="581">
        <v>1</v>
      </c>
      <c r="G219" s="582">
        <f t="shared" si="42"/>
        <v>360</v>
      </c>
      <c r="H219" s="581">
        <v>1</v>
      </c>
      <c r="I219" s="582">
        <f t="shared" si="43"/>
        <v>44</v>
      </c>
      <c r="J219" s="602">
        <f t="shared" si="44"/>
        <v>584</v>
      </c>
      <c r="K219" s="58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C219" s="588"/>
      <c r="AD219" s="588"/>
      <c r="AE219" s="588"/>
      <c r="AF219" s="588"/>
      <c r="AG219" s="588"/>
    </row>
    <row r="220" spans="1:34">
      <c r="A220" s="583">
        <v>16</v>
      </c>
      <c r="B220" s="601">
        <v>1</v>
      </c>
      <c r="C220" s="582">
        <f>+$C$210*B220*2</f>
        <v>180</v>
      </c>
      <c r="D220" s="581">
        <v>0</v>
      </c>
      <c r="E220" s="582">
        <f t="shared" si="45"/>
        <v>0</v>
      </c>
      <c r="F220" s="581">
        <v>1</v>
      </c>
      <c r="G220" s="582">
        <f t="shared" si="42"/>
        <v>360</v>
      </c>
      <c r="H220" s="581">
        <v>1</v>
      </c>
      <c r="I220" s="582">
        <f t="shared" si="43"/>
        <v>44</v>
      </c>
      <c r="J220" s="602">
        <f>+I220+G220+E220+C220</f>
        <v>584</v>
      </c>
      <c r="K220" s="58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C220" s="588"/>
      <c r="AD220" s="588"/>
      <c r="AE220" s="588"/>
      <c r="AF220" s="588"/>
      <c r="AG220" s="588"/>
    </row>
    <row r="221" spans="1:34">
      <c r="A221" s="583">
        <v>18</v>
      </c>
      <c r="B221" s="601">
        <v>1</v>
      </c>
      <c r="C221" s="582">
        <f t="shared" si="41"/>
        <v>180</v>
      </c>
      <c r="D221" s="581">
        <v>0.125</v>
      </c>
      <c r="E221" s="582">
        <f t="shared" si="45"/>
        <v>375</v>
      </c>
      <c r="F221" s="581">
        <v>1</v>
      </c>
      <c r="G221" s="582">
        <f t="shared" si="42"/>
        <v>360</v>
      </c>
      <c r="H221" s="581">
        <v>1</v>
      </c>
      <c r="I221" s="582">
        <f t="shared" si="43"/>
        <v>44</v>
      </c>
      <c r="J221" s="602">
        <f t="shared" si="44"/>
        <v>959</v>
      </c>
      <c r="K221" s="58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C221" s="588"/>
      <c r="AD221" s="588"/>
      <c r="AE221" s="588"/>
      <c r="AF221" s="588"/>
      <c r="AG221" s="588"/>
    </row>
    <row r="222" spans="1:34">
      <c r="A222" s="583">
        <v>20</v>
      </c>
      <c r="B222" s="601">
        <v>1</v>
      </c>
      <c r="C222" s="582">
        <f t="shared" si="41"/>
        <v>180</v>
      </c>
      <c r="D222" s="581">
        <v>0</v>
      </c>
      <c r="E222" s="582">
        <f t="shared" si="45"/>
        <v>0</v>
      </c>
      <c r="F222" s="581">
        <v>1</v>
      </c>
      <c r="G222" s="582">
        <f t="shared" si="42"/>
        <v>360</v>
      </c>
      <c r="H222" s="581">
        <v>1</v>
      </c>
      <c r="I222" s="582">
        <f t="shared" si="43"/>
        <v>44</v>
      </c>
      <c r="J222" s="602">
        <f t="shared" si="44"/>
        <v>584</v>
      </c>
      <c r="K222" s="58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C222" s="588"/>
      <c r="AD222" s="588"/>
      <c r="AE222" s="588"/>
      <c r="AF222" s="588"/>
      <c r="AG222" s="588"/>
    </row>
    <row r="223" spans="1:34" ht="13.5" thickBot="1">
      <c r="A223" s="577">
        <v>22</v>
      </c>
      <c r="B223" s="603">
        <v>1</v>
      </c>
      <c r="C223" s="604">
        <f t="shared" si="41"/>
        <v>180</v>
      </c>
      <c r="D223" s="605">
        <v>1</v>
      </c>
      <c r="E223" s="582">
        <f t="shared" si="45"/>
        <v>3000</v>
      </c>
      <c r="F223" s="605">
        <v>1</v>
      </c>
      <c r="G223" s="604">
        <f t="shared" si="42"/>
        <v>360</v>
      </c>
      <c r="H223" s="605">
        <v>0</v>
      </c>
      <c r="I223" s="604">
        <f t="shared" si="43"/>
        <v>0</v>
      </c>
      <c r="J223" s="606">
        <f t="shared" si="44"/>
        <v>3540</v>
      </c>
      <c r="K223" s="58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C223" s="588"/>
      <c r="AD223" s="588"/>
      <c r="AE223" s="588"/>
      <c r="AF223" s="588"/>
      <c r="AG223" s="588"/>
    </row>
    <row r="224" spans="1:34">
      <c r="A224" s="587"/>
      <c r="B224" s="587"/>
      <c r="C224" s="587"/>
      <c r="D224" s="587"/>
      <c r="E224" s="587" t="s">
        <v>2</v>
      </c>
      <c r="F224" s="587"/>
      <c r="G224" s="587"/>
      <c r="H224" s="587"/>
      <c r="I224" s="587"/>
      <c r="J224" s="587"/>
      <c r="K224" s="588"/>
      <c r="L224" s="587"/>
      <c r="M224" s="587"/>
      <c r="N224" s="587"/>
      <c r="O224" s="587"/>
      <c r="P224" s="587"/>
      <c r="Q224" s="587"/>
      <c r="R224" s="587"/>
      <c r="S224" s="587"/>
      <c r="T224" s="587"/>
      <c r="U224" s="587"/>
      <c r="V224" s="587"/>
      <c r="W224" s="587"/>
      <c r="X224" s="587"/>
      <c r="Y224" s="587"/>
      <c r="Z224" s="587"/>
      <c r="AA224" s="587"/>
      <c r="AB224" s="587"/>
      <c r="AC224" s="587"/>
      <c r="AD224" s="587"/>
      <c r="AE224" s="587"/>
      <c r="AF224" s="587"/>
      <c r="AG224" s="587"/>
      <c r="AH224" s="587"/>
    </row>
    <row r="225" spans="1:34">
      <c r="A225" s="587" t="s">
        <v>466</v>
      </c>
      <c r="B225" s="587"/>
      <c r="C225" s="587"/>
      <c r="D225" s="587"/>
      <c r="E225" s="587"/>
      <c r="F225" s="587"/>
      <c r="G225" s="587"/>
      <c r="H225" s="587"/>
      <c r="I225" s="587"/>
      <c r="J225" s="587">
        <f>SUM(J212:J223)</f>
        <v>10098</v>
      </c>
      <c r="K225" s="587" t="s">
        <v>453</v>
      </c>
      <c r="L225" s="587"/>
      <c r="M225" s="587"/>
      <c r="N225" s="587"/>
      <c r="O225" s="587"/>
      <c r="P225" s="587"/>
      <c r="Q225" s="587"/>
      <c r="R225" s="587"/>
      <c r="S225" s="587"/>
      <c r="T225" s="587"/>
      <c r="U225" s="587"/>
      <c r="V225" s="587"/>
      <c r="W225" s="587"/>
      <c r="X225" s="587"/>
      <c r="Y225" s="587"/>
      <c r="Z225" s="587"/>
      <c r="AA225" s="587"/>
      <c r="AB225" s="587"/>
      <c r="AC225" s="587"/>
      <c r="AD225" s="587"/>
      <c r="AE225" s="587"/>
      <c r="AF225" s="587"/>
      <c r="AG225" s="587"/>
      <c r="AH225" s="587"/>
    </row>
    <row r="226" spans="1:34">
      <c r="A226" s="587"/>
      <c r="B226" s="587"/>
      <c r="C226" s="587"/>
      <c r="D226" s="587"/>
      <c r="E226" s="587"/>
      <c r="F226" s="587"/>
      <c r="G226" s="587"/>
      <c r="H226" s="587"/>
      <c r="I226" s="587"/>
      <c r="J226" s="587"/>
      <c r="K226" s="587"/>
      <c r="L226" s="587"/>
      <c r="M226" s="587"/>
      <c r="N226" s="587"/>
      <c r="O226" s="587"/>
      <c r="P226" s="587"/>
      <c r="Q226" s="587"/>
      <c r="R226" s="587"/>
      <c r="S226" s="587"/>
      <c r="T226" s="587"/>
      <c r="U226" s="587"/>
      <c r="V226" s="587"/>
      <c r="W226" s="587"/>
      <c r="X226" s="587"/>
      <c r="Y226" s="587"/>
      <c r="Z226" s="587"/>
      <c r="AA226" s="587"/>
      <c r="AB226" s="587"/>
      <c r="AC226" s="587"/>
      <c r="AD226" s="587"/>
      <c r="AE226" s="587"/>
      <c r="AF226" s="587"/>
      <c r="AG226" s="587"/>
      <c r="AH226" s="587"/>
    </row>
    <row r="227" spans="1:34">
      <c r="A227" s="587"/>
      <c r="B227" s="587"/>
      <c r="C227" s="587"/>
      <c r="D227" s="587"/>
      <c r="E227" s="587"/>
      <c r="F227" s="587"/>
      <c r="G227" s="587"/>
      <c r="H227" s="587"/>
      <c r="I227" s="587"/>
      <c r="J227" s="587"/>
      <c r="K227" s="587"/>
      <c r="L227" s="587"/>
      <c r="M227" s="587"/>
      <c r="N227" s="587"/>
      <c r="O227" s="587"/>
      <c r="P227" s="587"/>
      <c r="Q227" s="587"/>
      <c r="R227" s="587"/>
      <c r="S227" s="587"/>
      <c r="T227" s="587"/>
      <c r="U227" s="587"/>
      <c r="V227" s="587"/>
      <c r="W227" s="587"/>
      <c r="X227" s="587"/>
      <c r="Y227" s="587"/>
      <c r="Z227" s="587"/>
      <c r="AA227" s="587"/>
      <c r="AB227" s="587"/>
      <c r="AC227" s="587"/>
      <c r="AD227" s="587"/>
      <c r="AE227" s="587"/>
      <c r="AF227" s="587"/>
      <c r="AG227" s="587"/>
      <c r="AH227" s="587"/>
    </row>
    <row r="228" spans="1:34" s="585" customFormat="1">
      <c r="A228" s="587"/>
      <c r="B228" s="587"/>
      <c r="C228" s="587"/>
      <c r="D228" s="587"/>
      <c r="E228" s="587"/>
      <c r="F228" s="587"/>
      <c r="G228" s="587"/>
      <c r="H228" s="587"/>
      <c r="I228" s="587"/>
      <c r="J228" s="587"/>
      <c r="K228" s="587"/>
      <c r="L228" s="587"/>
      <c r="M228" s="587"/>
      <c r="N228" s="587"/>
      <c r="O228" s="587"/>
      <c r="P228" s="587"/>
      <c r="Q228" s="587"/>
      <c r="R228" s="587"/>
      <c r="S228" s="587"/>
      <c r="T228" s="587"/>
      <c r="U228" s="587"/>
      <c r="V228" s="587"/>
      <c r="W228" s="587"/>
      <c r="X228" s="587"/>
      <c r="Y228" s="587"/>
      <c r="Z228" s="587"/>
      <c r="AA228" s="587"/>
      <c r="AB228" s="587"/>
      <c r="AC228" s="587"/>
      <c r="AD228" s="587"/>
      <c r="AE228" s="587"/>
      <c r="AF228" s="587"/>
      <c r="AG228" s="587"/>
      <c r="AH228" s="587"/>
    </row>
    <row r="229" spans="1:34" s="585" customFormat="1">
      <c r="A229" s="587"/>
      <c r="B229" s="587"/>
      <c r="C229" s="587"/>
      <c r="D229" s="587"/>
      <c r="E229" s="587"/>
      <c r="F229" s="587"/>
      <c r="G229" s="587"/>
      <c r="H229" s="587"/>
      <c r="I229" s="587"/>
      <c r="J229" s="587"/>
      <c r="K229" s="587"/>
      <c r="L229" s="587"/>
      <c r="M229" s="587"/>
      <c r="N229" s="587"/>
      <c r="O229" s="587"/>
      <c r="P229" s="587"/>
      <c r="Q229" s="587"/>
      <c r="R229" s="587"/>
      <c r="S229" s="587"/>
      <c r="T229" s="587"/>
      <c r="U229" s="587"/>
      <c r="V229" s="587"/>
      <c r="W229" s="587"/>
      <c r="X229" s="587"/>
      <c r="Y229" s="587"/>
      <c r="Z229" s="587"/>
      <c r="AA229" s="587"/>
      <c r="AB229" s="587"/>
      <c r="AC229" s="587"/>
      <c r="AD229" s="587"/>
      <c r="AE229" s="587"/>
      <c r="AF229" s="587"/>
      <c r="AG229" s="587"/>
      <c r="AH229" s="587"/>
    </row>
    <row r="230" spans="1:34" s="585" customFormat="1">
      <c r="A230" s="587"/>
      <c r="B230" s="587"/>
      <c r="C230" s="587"/>
      <c r="D230" s="587"/>
      <c r="E230" s="587"/>
      <c r="F230" s="587"/>
      <c r="G230" s="587"/>
      <c r="H230" s="587"/>
      <c r="I230" s="587"/>
      <c r="J230" s="587"/>
      <c r="K230" s="587"/>
      <c r="L230" s="587"/>
      <c r="M230" s="587"/>
      <c r="N230" s="587"/>
      <c r="O230" s="587"/>
      <c r="P230" s="587"/>
      <c r="Q230" s="587"/>
      <c r="R230" s="587"/>
      <c r="S230" s="587"/>
      <c r="T230" s="587"/>
      <c r="U230" s="587"/>
      <c r="V230" s="587"/>
      <c r="W230" s="587"/>
      <c r="X230" s="587"/>
      <c r="Y230" s="587"/>
      <c r="Z230" s="587"/>
      <c r="AA230" s="587"/>
      <c r="AB230" s="587"/>
      <c r="AC230" s="587"/>
      <c r="AD230" s="587"/>
      <c r="AE230" s="587"/>
      <c r="AF230" s="587"/>
      <c r="AG230" s="587"/>
      <c r="AH230" s="587"/>
    </row>
    <row r="231" spans="1:34" s="585" customFormat="1">
      <c r="A231" s="587"/>
      <c r="B231" s="587"/>
      <c r="C231" s="587"/>
      <c r="D231" s="587"/>
      <c r="E231" s="587"/>
      <c r="F231" s="587"/>
      <c r="G231" s="587"/>
      <c r="H231" s="587"/>
      <c r="I231" s="587"/>
      <c r="J231" s="587"/>
      <c r="K231" s="587"/>
      <c r="L231" s="587"/>
      <c r="M231" s="587"/>
      <c r="N231" s="587"/>
      <c r="O231" s="587"/>
      <c r="P231" s="587"/>
      <c r="Q231" s="587"/>
      <c r="R231" s="587"/>
      <c r="S231" s="587"/>
      <c r="T231" s="587"/>
      <c r="U231" s="587"/>
      <c r="V231" s="587"/>
      <c r="W231" s="587"/>
      <c r="X231" s="587"/>
      <c r="Y231" s="587"/>
      <c r="Z231" s="587"/>
      <c r="AA231" s="587"/>
      <c r="AB231" s="587"/>
      <c r="AC231" s="587"/>
      <c r="AD231" s="587"/>
      <c r="AE231" s="587"/>
      <c r="AF231" s="587"/>
      <c r="AG231" s="587"/>
      <c r="AH231" s="587"/>
    </row>
    <row r="232" spans="1:34" s="585" customFormat="1">
      <c r="A232" s="587"/>
      <c r="B232" s="587"/>
      <c r="C232" s="587"/>
      <c r="D232" s="587"/>
      <c r="E232" s="587"/>
      <c r="F232" s="587"/>
      <c r="G232" s="587"/>
      <c r="H232" s="587"/>
      <c r="I232" s="587"/>
      <c r="J232" s="587"/>
      <c r="K232" s="587"/>
      <c r="L232" s="587"/>
      <c r="M232" s="587"/>
      <c r="N232" s="587"/>
      <c r="O232" s="587"/>
      <c r="P232" s="587"/>
      <c r="Q232" s="587"/>
      <c r="R232" s="587"/>
      <c r="S232" s="587"/>
      <c r="T232" s="587"/>
      <c r="U232" s="587"/>
      <c r="V232" s="587"/>
      <c r="W232" s="587"/>
      <c r="X232" s="587"/>
      <c r="Y232" s="587"/>
      <c r="Z232" s="587"/>
      <c r="AA232" s="587"/>
      <c r="AB232" s="587"/>
      <c r="AC232" s="587"/>
      <c r="AD232" s="587"/>
      <c r="AE232" s="587"/>
      <c r="AF232" s="587"/>
      <c r="AG232" s="587"/>
      <c r="AH232" s="587"/>
    </row>
    <row r="233" spans="1:34" s="585" customFormat="1">
      <c r="A233" s="587"/>
      <c r="B233" s="587"/>
      <c r="C233" s="587"/>
      <c r="D233" s="587"/>
      <c r="E233" s="587"/>
      <c r="F233" s="587"/>
      <c r="G233" s="587"/>
      <c r="H233" s="587"/>
      <c r="I233" s="587"/>
      <c r="J233" s="587"/>
      <c r="K233" s="587"/>
      <c r="L233" s="587"/>
      <c r="M233" s="587"/>
      <c r="N233" s="587"/>
      <c r="O233" s="587"/>
      <c r="P233" s="587"/>
      <c r="Q233" s="587"/>
      <c r="R233" s="587"/>
      <c r="S233" s="587"/>
      <c r="T233" s="587"/>
      <c r="U233" s="587"/>
      <c r="V233" s="587"/>
      <c r="W233" s="587"/>
      <c r="X233" s="587"/>
      <c r="Y233" s="587"/>
      <c r="Z233" s="587"/>
      <c r="AA233" s="587"/>
      <c r="AB233" s="587"/>
      <c r="AC233" s="587"/>
      <c r="AD233" s="587"/>
      <c r="AE233" s="587"/>
      <c r="AF233" s="587"/>
      <c r="AG233" s="587"/>
      <c r="AH233" s="587"/>
    </row>
    <row r="234" spans="1:34" s="585" customFormat="1">
      <c r="A234" s="587"/>
      <c r="B234" s="587"/>
      <c r="C234" s="587"/>
      <c r="D234" s="587"/>
      <c r="E234" s="587"/>
      <c r="F234" s="587"/>
      <c r="G234" s="587"/>
      <c r="H234" s="587"/>
      <c r="I234" s="587"/>
      <c r="J234" s="587"/>
      <c r="K234" s="587"/>
      <c r="L234" s="587"/>
      <c r="M234" s="587"/>
      <c r="N234" s="587"/>
      <c r="O234" s="587"/>
      <c r="P234" s="587"/>
      <c r="Q234" s="587"/>
      <c r="R234" s="587"/>
      <c r="S234" s="587"/>
      <c r="T234" s="587"/>
      <c r="U234" s="587"/>
      <c r="V234" s="587"/>
      <c r="W234" s="587"/>
      <c r="X234" s="587"/>
      <c r="Y234" s="587"/>
      <c r="Z234" s="587"/>
      <c r="AA234" s="587"/>
      <c r="AB234" s="587"/>
      <c r="AC234" s="587"/>
      <c r="AD234" s="587"/>
      <c r="AE234" s="587"/>
      <c r="AF234" s="587"/>
      <c r="AG234" s="587"/>
      <c r="AH234" s="587"/>
    </row>
    <row r="235" spans="1:34" s="585" customFormat="1">
      <c r="A235" s="587"/>
      <c r="B235" s="587"/>
      <c r="C235" s="587"/>
      <c r="D235" s="587"/>
      <c r="E235" s="587"/>
      <c r="F235" s="587"/>
      <c r="G235" s="587"/>
      <c r="H235" s="587"/>
      <c r="I235" s="587"/>
      <c r="J235" s="587"/>
      <c r="K235" s="587"/>
      <c r="L235" s="587"/>
      <c r="M235" s="587"/>
      <c r="N235" s="587"/>
      <c r="O235" s="587"/>
      <c r="P235" s="587"/>
      <c r="Q235" s="587"/>
      <c r="R235" s="587"/>
      <c r="S235" s="587"/>
      <c r="T235" s="587"/>
      <c r="U235" s="587"/>
      <c r="V235" s="587"/>
      <c r="W235" s="587"/>
      <c r="X235" s="587"/>
      <c r="Y235" s="587"/>
      <c r="Z235" s="587"/>
      <c r="AA235" s="587"/>
      <c r="AB235" s="587"/>
      <c r="AC235" s="587"/>
      <c r="AD235" s="587"/>
      <c r="AE235" s="587"/>
      <c r="AF235" s="587"/>
      <c r="AG235" s="587"/>
      <c r="AH235" s="587"/>
    </row>
    <row r="236" spans="1:34" s="585" customFormat="1">
      <c r="A236" s="587"/>
      <c r="B236" s="587"/>
      <c r="C236" s="587"/>
      <c r="D236" s="587"/>
      <c r="E236" s="587"/>
      <c r="F236" s="587"/>
      <c r="G236" s="587"/>
      <c r="H236" s="587"/>
      <c r="I236" s="587"/>
      <c r="J236" s="587"/>
      <c r="K236" s="587"/>
      <c r="L236" s="587"/>
      <c r="M236" s="587"/>
      <c r="N236" s="587"/>
      <c r="O236" s="587"/>
      <c r="P236" s="587"/>
      <c r="Q236" s="587"/>
      <c r="R236" s="587"/>
      <c r="S236" s="587"/>
      <c r="T236" s="587"/>
      <c r="U236" s="587"/>
      <c r="V236" s="587"/>
      <c r="W236" s="587"/>
      <c r="X236" s="587"/>
      <c r="Y236" s="587"/>
      <c r="Z236" s="587"/>
      <c r="AA236" s="587"/>
      <c r="AB236" s="587"/>
      <c r="AC236" s="587"/>
      <c r="AD236" s="587"/>
      <c r="AE236" s="587"/>
      <c r="AF236" s="587"/>
      <c r="AG236" s="587"/>
      <c r="AH236" s="587"/>
    </row>
    <row r="237" spans="1:34" s="585" customFormat="1">
      <c r="A237" s="587"/>
      <c r="B237" s="587"/>
      <c r="C237" s="587"/>
      <c r="D237" s="587"/>
      <c r="E237" s="587"/>
      <c r="F237" s="587"/>
      <c r="G237" s="587"/>
      <c r="H237" s="587"/>
      <c r="I237" s="587"/>
      <c r="J237" s="587"/>
      <c r="K237" s="587"/>
      <c r="L237" s="587"/>
      <c r="M237" s="587"/>
      <c r="N237" s="587"/>
      <c r="O237" s="587"/>
      <c r="P237" s="587"/>
      <c r="Q237" s="587"/>
      <c r="R237" s="587"/>
      <c r="S237" s="587"/>
      <c r="T237" s="587"/>
      <c r="U237" s="587"/>
      <c r="V237" s="587"/>
      <c r="W237" s="587"/>
      <c r="X237" s="587"/>
      <c r="Y237" s="587"/>
      <c r="Z237" s="587"/>
      <c r="AA237" s="587"/>
      <c r="AB237" s="587"/>
      <c r="AC237" s="587"/>
      <c r="AD237" s="587"/>
      <c r="AE237" s="587"/>
      <c r="AF237" s="587"/>
      <c r="AG237" s="587"/>
      <c r="AH237" s="587"/>
    </row>
    <row r="238" spans="1:34" s="585" customFormat="1">
      <c r="A238" s="587"/>
      <c r="B238" s="587"/>
      <c r="C238" s="587"/>
      <c r="D238" s="587"/>
      <c r="E238" s="587"/>
      <c r="F238" s="587"/>
      <c r="G238" s="587"/>
      <c r="H238" s="587"/>
      <c r="I238" s="587"/>
      <c r="J238" s="587"/>
      <c r="K238" s="587"/>
      <c r="L238" s="587"/>
      <c r="M238" s="587"/>
      <c r="N238" s="587"/>
      <c r="O238" s="587"/>
      <c r="P238" s="587"/>
      <c r="Q238" s="587"/>
      <c r="R238" s="587"/>
      <c r="S238" s="587"/>
      <c r="T238" s="587"/>
      <c r="U238" s="587"/>
      <c r="V238" s="587"/>
      <c r="W238" s="587"/>
      <c r="X238" s="587"/>
      <c r="Y238" s="587"/>
      <c r="Z238" s="587"/>
      <c r="AA238" s="587"/>
      <c r="AB238" s="587"/>
      <c r="AC238" s="587"/>
      <c r="AD238" s="587"/>
      <c r="AE238" s="587"/>
      <c r="AF238" s="587"/>
      <c r="AG238" s="587"/>
      <c r="AH238" s="587"/>
    </row>
    <row r="239" spans="1:34" s="585" customFormat="1">
      <c r="A239" s="587"/>
      <c r="B239" s="587"/>
      <c r="C239" s="587"/>
      <c r="D239" s="587"/>
      <c r="E239" s="587"/>
      <c r="F239" s="587"/>
      <c r="G239" s="587"/>
      <c r="H239" s="587"/>
      <c r="I239" s="587"/>
      <c r="J239" s="587"/>
      <c r="K239" s="587"/>
      <c r="L239" s="587"/>
      <c r="M239" s="587"/>
      <c r="N239" s="587"/>
      <c r="O239" s="587"/>
      <c r="P239" s="587"/>
      <c r="Q239" s="587"/>
      <c r="R239" s="587"/>
      <c r="S239" s="587"/>
      <c r="T239" s="587"/>
      <c r="U239" s="587"/>
      <c r="V239" s="587"/>
      <c r="W239" s="587"/>
      <c r="X239" s="587"/>
      <c r="Y239" s="587"/>
      <c r="Z239" s="587"/>
      <c r="AA239" s="587"/>
      <c r="AB239" s="587"/>
      <c r="AC239" s="587"/>
      <c r="AD239" s="587"/>
      <c r="AE239" s="587"/>
      <c r="AF239" s="587"/>
      <c r="AG239" s="587"/>
      <c r="AH239" s="587"/>
    </row>
    <row r="240" spans="1:34" s="585" customFormat="1">
      <c r="A240" s="587"/>
      <c r="B240" s="587"/>
      <c r="C240" s="587"/>
      <c r="D240" s="587"/>
      <c r="E240" s="587"/>
      <c r="F240" s="587"/>
      <c r="G240" s="587"/>
      <c r="H240" s="587"/>
      <c r="I240" s="587"/>
      <c r="J240" s="587"/>
      <c r="K240" s="587"/>
      <c r="L240" s="587"/>
      <c r="M240" s="587"/>
      <c r="N240" s="587"/>
      <c r="O240" s="587"/>
      <c r="P240" s="587"/>
      <c r="Q240" s="587"/>
      <c r="R240" s="587"/>
      <c r="S240" s="587"/>
      <c r="T240" s="587"/>
      <c r="U240" s="587"/>
      <c r="V240" s="587"/>
      <c r="W240" s="587"/>
      <c r="X240" s="587"/>
      <c r="Y240" s="587"/>
      <c r="Z240" s="587"/>
      <c r="AA240" s="587"/>
      <c r="AB240" s="587"/>
      <c r="AC240" s="587"/>
      <c r="AD240" s="587"/>
      <c r="AE240" s="587"/>
      <c r="AF240" s="587"/>
      <c r="AG240" s="587"/>
      <c r="AH240" s="587"/>
    </row>
    <row r="241" spans="1:34" s="585" customFormat="1">
      <c r="A241" s="587"/>
      <c r="B241" s="587"/>
      <c r="C241" s="587"/>
      <c r="D241" s="587"/>
      <c r="E241" s="587"/>
      <c r="F241" s="587"/>
      <c r="G241" s="587"/>
      <c r="H241" s="587"/>
      <c r="I241" s="587"/>
      <c r="J241" s="587"/>
      <c r="K241" s="587"/>
      <c r="L241" s="587"/>
      <c r="M241" s="587"/>
      <c r="N241" s="587"/>
      <c r="O241" s="587"/>
      <c r="P241" s="587"/>
      <c r="Q241" s="587"/>
      <c r="R241" s="587"/>
      <c r="S241" s="587"/>
      <c r="T241" s="587"/>
      <c r="U241" s="587"/>
      <c r="V241" s="587"/>
      <c r="W241" s="587"/>
      <c r="X241" s="587"/>
      <c r="Y241" s="587"/>
      <c r="Z241" s="587"/>
      <c r="AA241" s="587"/>
      <c r="AB241" s="587"/>
      <c r="AC241" s="587"/>
      <c r="AD241" s="587"/>
      <c r="AE241" s="587"/>
      <c r="AF241" s="587"/>
      <c r="AG241" s="587"/>
      <c r="AH241" s="587"/>
    </row>
    <row r="242" spans="1:34" s="585" customFormat="1">
      <c r="A242" s="587"/>
      <c r="B242" s="587"/>
      <c r="C242" s="587"/>
      <c r="D242" s="587"/>
      <c r="E242" s="587"/>
      <c r="F242" s="587"/>
      <c r="G242" s="587"/>
      <c r="H242" s="587"/>
      <c r="I242" s="587"/>
      <c r="J242" s="587"/>
      <c r="K242" s="587"/>
      <c r="L242" s="587"/>
      <c r="M242" s="587"/>
      <c r="N242" s="587"/>
      <c r="O242" s="587"/>
      <c r="P242" s="587"/>
      <c r="Q242" s="587"/>
      <c r="R242" s="587"/>
      <c r="S242" s="587"/>
      <c r="T242" s="587"/>
      <c r="U242" s="587"/>
      <c r="V242" s="587"/>
      <c r="W242" s="587"/>
      <c r="X242" s="587"/>
      <c r="Y242" s="587"/>
      <c r="Z242" s="587"/>
      <c r="AA242" s="587"/>
      <c r="AB242" s="587"/>
      <c r="AC242" s="587"/>
      <c r="AD242" s="587"/>
      <c r="AE242" s="587"/>
      <c r="AF242" s="587"/>
      <c r="AG242" s="587"/>
      <c r="AH242" s="587"/>
    </row>
    <row r="243" spans="1:34" s="585" customFormat="1">
      <c r="A243" s="587"/>
      <c r="B243" s="587"/>
      <c r="C243" s="587"/>
      <c r="D243" s="587"/>
      <c r="E243" s="587"/>
      <c r="F243" s="587"/>
      <c r="G243" s="587"/>
      <c r="H243" s="587"/>
      <c r="I243" s="587"/>
      <c r="J243" s="587"/>
      <c r="K243" s="587"/>
      <c r="L243" s="587"/>
      <c r="M243" s="587"/>
      <c r="N243" s="587"/>
      <c r="O243" s="587"/>
      <c r="P243" s="587"/>
      <c r="Q243" s="587"/>
      <c r="R243" s="587"/>
      <c r="S243" s="587"/>
      <c r="T243" s="587"/>
      <c r="U243" s="587"/>
      <c r="V243" s="587"/>
      <c r="W243" s="587"/>
      <c r="X243" s="587"/>
      <c r="Y243" s="587"/>
      <c r="Z243" s="587"/>
      <c r="AA243" s="587"/>
      <c r="AB243" s="587"/>
      <c r="AC243" s="587"/>
      <c r="AD243" s="587"/>
      <c r="AE243" s="587"/>
      <c r="AF243" s="587"/>
      <c r="AG243" s="587"/>
      <c r="AH243" s="587"/>
    </row>
    <row r="244" spans="1:34" s="585" customFormat="1">
      <c r="A244" s="587"/>
      <c r="B244" s="587"/>
      <c r="C244" s="587"/>
      <c r="D244" s="587"/>
      <c r="E244" s="587"/>
      <c r="F244" s="587"/>
      <c r="G244" s="587"/>
      <c r="H244" s="587"/>
      <c r="I244" s="587"/>
      <c r="J244" s="587"/>
      <c r="K244" s="587"/>
      <c r="L244" s="587"/>
      <c r="M244" s="587"/>
      <c r="N244" s="587"/>
      <c r="O244" s="587"/>
      <c r="P244" s="587"/>
      <c r="Q244" s="587"/>
      <c r="R244" s="587"/>
      <c r="S244" s="587"/>
      <c r="T244" s="587"/>
      <c r="U244" s="587"/>
      <c r="V244" s="587"/>
      <c r="W244" s="587"/>
      <c r="X244" s="587"/>
      <c r="Y244" s="587"/>
      <c r="Z244" s="587"/>
      <c r="AA244" s="587"/>
      <c r="AB244" s="587"/>
      <c r="AC244" s="587"/>
      <c r="AD244" s="587"/>
      <c r="AE244" s="587"/>
      <c r="AF244" s="587"/>
      <c r="AG244" s="587"/>
      <c r="AH244" s="587"/>
    </row>
    <row r="245" spans="1:34" s="585" customFormat="1">
      <c r="A245" s="587"/>
      <c r="B245" s="587"/>
      <c r="C245" s="587"/>
      <c r="D245" s="587"/>
      <c r="E245" s="587"/>
      <c r="F245" s="587"/>
      <c r="G245" s="587"/>
      <c r="H245" s="587"/>
      <c r="I245" s="587"/>
      <c r="J245" s="587"/>
      <c r="K245" s="587"/>
      <c r="L245" s="587"/>
      <c r="M245" s="587"/>
      <c r="N245" s="587"/>
      <c r="O245" s="587"/>
      <c r="P245" s="587"/>
      <c r="Q245" s="587"/>
      <c r="R245" s="587"/>
      <c r="S245" s="587"/>
      <c r="T245" s="587"/>
      <c r="U245" s="587"/>
      <c r="V245" s="587"/>
      <c r="W245" s="587"/>
      <c r="X245" s="587"/>
      <c r="Y245" s="587"/>
      <c r="Z245" s="587"/>
      <c r="AA245" s="587"/>
      <c r="AB245" s="587"/>
      <c r="AC245" s="587"/>
      <c r="AD245" s="587"/>
      <c r="AE245" s="587"/>
      <c r="AF245" s="587"/>
      <c r="AG245" s="587"/>
      <c r="AH245" s="587"/>
    </row>
    <row r="246" spans="1:34" s="585" customFormat="1">
      <c r="A246" s="587"/>
      <c r="B246" s="587"/>
      <c r="C246" s="587"/>
      <c r="D246" s="587"/>
      <c r="E246" s="587"/>
      <c r="F246" s="587"/>
      <c r="G246" s="587"/>
      <c r="H246" s="587"/>
      <c r="I246" s="587"/>
      <c r="J246" s="587"/>
      <c r="K246" s="587"/>
      <c r="L246" s="587"/>
      <c r="M246" s="587"/>
      <c r="N246" s="587"/>
      <c r="O246" s="587"/>
      <c r="P246" s="587"/>
      <c r="Q246" s="587"/>
      <c r="R246" s="587"/>
      <c r="S246" s="587"/>
      <c r="T246" s="587"/>
      <c r="U246" s="587"/>
      <c r="V246" s="587"/>
      <c r="W246" s="587"/>
      <c r="X246" s="587"/>
      <c r="Y246" s="587"/>
      <c r="Z246" s="587"/>
      <c r="AA246" s="587"/>
      <c r="AB246" s="587"/>
      <c r="AC246" s="587"/>
      <c r="AD246" s="587"/>
      <c r="AE246" s="587"/>
      <c r="AF246" s="587"/>
      <c r="AG246" s="587"/>
      <c r="AH246" s="587"/>
    </row>
    <row r="247" spans="1:34" s="585" customFormat="1">
      <c r="A247" s="587"/>
      <c r="B247" s="587"/>
      <c r="C247" s="587"/>
      <c r="D247" s="587"/>
      <c r="E247" s="587"/>
      <c r="F247" s="587"/>
      <c r="G247" s="587"/>
      <c r="H247" s="587"/>
      <c r="I247" s="587"/>
      <c r="J247" s="587"/>
      <c r="K247" s="587"/>
      <c r="L247" s="587"/>
      <c r="M247" s="587"/>
      <c r="N247" s="587"/>
      <c r="O247" s="587"/>
      <c r="P247" s="587"/>
      <c r="Q247" s="587"/>
      <c r="R247" s="587"/>
      <c r="S247" s="587"/>
      <c r="T247" s="587"/>
      <c r="U247" s="587"/>
      <c r="V247" s="587"/>
      <c r="W247" s="587"/>
      <c r="X247" s="587"/>
      <c r="Y247" s="587"/>
      <c r="Z247" s="587"/>
      <c r="AA247" s="587"/>
      <c r="AB247" s="587"/>
      <c r="AC247" s="587"/>
      <c r="AD247" s="587"/>
      <c r="AE247" s="587"/>
      <c r="AF247" s="587"/>
      <c r="AG247" s="587"/>
      <c r="AH247" s="587"/>
    </row>
    <row r="248" spans="1:34" s="585" customFormat="1">
      <c r="A248" s="587"/>
      <c r="B248" s="587"/>
      <c r="C248" s="587"/>
      <c r="D248" s="587"/>
      <c r="E248" s="587"/>
      <c r="F248" s="587"/>
      <c r="G248" s="587"/>
      <c r="H248" s="587"/>
      <c r="I248" s="587"/>
      <c r="J248" s="587"/>
      <c r="K248" s="587"/>
      <c r="L248" s="587"/>
      <c r="M248" s="587"/>
      <c r="N248" s="587"/>
      <c r="O248" s="587"/>
      <c r="P248" s="587"/>
      <c r="Q248" s="587"/>
      <c r="R248" s="587"/>
      <c r="S248" s="587"/>
      <c r="T248" s="587"/>
      <c r="U248" s="587"/>
      <c r="V248" s="587"/>
      <c r="W248" s="587"/>
      <c r="X248" s="587"/>
      <c r="Y248" s="587"/>
      <c r="Z248" s="587"/>
      <c r="AA248" s="587"/>
      <c r="AB248" s="587"/>
      <c r="AC248" s="587"/>
      <c r="AD248" s="587"/>
      <c r="AE248" s="587"/>
      <c r="AF248" s="587"/>
      <c r="AG248" s="587"/>
      <c r="AH248" s="587"/>
    </row>
    <row r="249" spans="1:34" s="585" customFormat="1">
      <c r="A249" s="587"/>
      <c r="B249" s="587"/>
      <c r="C249" s="587"/>
      <c r="D249" s="587"/>
      <c r="E249" s="587"/>
      <c r="F249" s="587"/>
      <c r="G249" s="587"/>
      <c r="H249" s="587"/>
      <c r="I249" s="587"/>
      <c r="J249" s="587"/>
      <c r="K249" s="587"/>
      <c r="L249" s="587"/>
      <c r="M249" s="587"/>
      <c r="N249" s="587"/>
      <c r="O249" s="587"/>
      <c r="P249" s="587"/>
      <c r="Q249" s="587"/>
      <c r="R249" s="587"/>
      <c r="S249" s="587"/>
      <c r="T249" s="587"/>
      <c r="U249" s="587"/>
      <c r="V249" s="587"/>
      <c r="W249" s="587"/>
      <c r="X249" s="587"/>
      <c r="Y249" s="587"/>
      <c r="Z249" s="587"/>
      <c r="AA249" s="587"/>
      <c r="AB249" s="587"/>
      <c r="AC249" s="587"/>
      <c r="AD249" s="587"/>
      <c r="AE249" s="587"/>
      <c r="AF249" s="587"/>
      <c r="AG249" s="587"/>
      <c r="AH249" s="587"/>
    </row>
    <row r="250" spans="1:34" s="585" customFormat="1">
      <c r="A250" s="587"/>
      <c r="B250" s="587"/>
      <c r="C250" s="587"/>
      <c r="D250" s="587"/>
      <c r="E250" s="587"/>
      <c r="F250" s="587"/>
      <c r="G250" s="587"/>
      <c r="H250" s="587"/>
      <c r="I250" s="587"/>
      <c r="J250" s="587"/>
      <c r="K250" s="587"/>
      <c r="L250" s="587"/>
      <c r="M250" s="587"/>
      <c r="N250" s="587"/>
      <c r="O250" s="587"/>
      <c r="P250" s="587"/>
      <c r="Q250" s="587"/>
      <c r="R250" s="587"/>
      <c r="S250" s="587"/>
      <c r="T250" s="587"/>
      <c r="U250" s="587"/>
      <c r="V250" s="587"/>
      <c r="W250" s="587"/>
      <c r="X250" s="587"/>
      <c r="Y250" s="587"/>
      <c r="Z250" s="587"/>
      <c r="AA250" s="587"/>
      <c r="AB250" s="587"/>
      <c r="AC250" s="587"/>
      <c r="AD250" s="587"/>
      <c r="AE250" s="587"/>
      <c r="AF250" s="587"/>
      <c r="AG250" s="587"/>
      <c r="AH250" s="587"/>
    </row>
    <row r="251" spans="1:34" ht="22.5" customHeight="1">
      <c r="A251" s="96" t="s">
        <v>212</v>
      </c>
      <c r="B251" s="97"/>
      <c r="C251" s="97"/>
      <c r="D251" s="97"/>
      <c r="E251" s="97"/>
      <c r="F251" s="97" t="s">
        <v>223</v>
      </c>
      <c r="G251" s="97"/>
      <c r="H251" s="97"/>
      <c r="I251" s="97"/>
      <c r="J251" s="97"/>
      <c r="K251" s="97"/>
      <c r="L251" s="97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324"/>
      <c r="AB251" s="176"/>
      <c r="AC251" s="176"/>
      <c r="AD251" s="176"/>
      <c r="AE251" s="176"/>
      <c r="AF251" s="176"/>
    </row>
    <row r="252" spans="1:34">
      <c r="A252" s="104"/>
      <c r="B252" s="101"/>
      <c r="C252" s="101"/>
      <c r="D252" s="101"/>
      <c r="E252" s="108" t="s">
        <v>281</v>
      </c>
      <c r="F252" s="109"/>
      <c r="G252" s="109"/>
      <c r="H252" s="100"/>
      <c r="I252" s="97"/>
      <c r="J252" s="110" t="s">
        <v>282</v>
      </c>
      <c r="K252" s="109"/>
      <c r="L252" s="100"/>
      <c r="M252" s="78"/>
      <c r="N252" s="78"/>
      <c r="O252" s="78"/>
      <c r="P252" s="78"/>
      <c r="Q252" s="78"/>
      <c r="S252" s="78"/>
      <c r="T252" s="78"/>
      <c r="U252" s="78"/>
      <c r="V252" s="78"/>
      <c r="W252" s="78"/>
      <c r="X252" s="78"/>
      <c r="Y252" s="78"/>
      <c r="Z252" s="78"/>
      <c r="AA252" s="324"/>
      <c r="AB252" s="345"/>
      <c r="AC252" s="327"/>
      <c r="AD252" s="326" t="s">
        <v>554</v>
      </c>
      <c r="AE252" s="327"/>
      <c r="AF252" s="328"/>
    </row>
    <row r="253" spans="1:34">
      <c r="A253" s="107"/>
      <c r="B253" s="111"/>
      <c r="C253" s="107"/>
      <c r="D253" s="107"/>
      <c r="E253" s="107"/>
      <c r="F253" s="112" t="s">
        <v>22</v>
      </c>
      <c r="G253" s="112" t="s">
        <v>22</v>
      </c>
      <c r="H253" s="103"/>
      <c r="I253" s="97"/>
      <c r="J253" s="111"/>
      <c r="K253" s="105"/>
      <c r="L253" s="103"/>
      <c r="M253" s="78"/>
      <c r="N253" s="78"/>
      <c r="O253" s="78"/>
      <c r="P253" s="78"/>
      <c r="Q253" s="78"/>
      <c r="S253" s="78"/>
      <c r="T253" s="78"/>
      <c r="U253" s="78"/>
      <c r="V253" s="78"/>
      <c r="W253" s="78"/>
      <c r="X253" s="78"/>
      <c r="Y253" s="78"/>
      <c r="Z253" s="78"/>
      <c r="AA253" s="324"/>
      <c r="AB253" s="346" t="s">
        <v>585</v>
      </c>
      <c r="AC253" s="340" t="s">
        <v>586</v>
      </c>
      <c r="AD253" s="340" t="s">
        <v>553</v>
      </c>
      <c r="AE253" s="341" t="s">
        <v>549</v>
      </c>
      <c r="AF253" s="340" t="s">
        <v>551</v>
      </c>
    </row>
    <row r="254" spans="1:34">
      <c r="A254" s="102" t="s">
        <v>187</v>
      </c>
      <c r="B254" s="113" t="s">
        <v>396</v>
      </c>
      <c r="C254" s="102" t="s">
        <v>397</v>
      </c>
      <c r="D254" s="229" t="s">
        <v>398</v>
      </c>
      <c r="E254" s="229" t="s">
        <v>399</v>
      </c>
      <c r="F254" s="112" t="s">
        <v>280</v>
      </c>
      <c r="G254" s="112" t="s">
        <v>279</v>
      </c>
      <c r="H254" s="114" t="s">
        <v>216</v>
      </c>
      <c r="I254" s="96" t="s">
        <v>221</v>
      </c>
      <c r="J254" s="113" t="s">
        <v>213</v>
      </c>
      <c r="K254" s="112" t="s">
        <v>214</v>
      </c>
      <c r="L254" s="114" t="s">
        <v>215</v>
      </c>
      <c r="M254" s="78"/>
      <c r="S254" s="78"/>
      <c r="T254" s="78"/>
      <c r="U254" s="78"/>
      <c r="V254" s="78"/>
      <c r="W254" s="78"/>
      <c r="X254" s="78"/>
      <c r="Y254" s="78"/>
      <c r="Z254" s="78"/>
      <c r="AA254" s="324"/>
      <c r="AB254" s="347" t="s">
        <v>548</v>
      </c>
      <c r="AC254" s="342" t="s">
        <v>587</v>
      </c>
      <c r="AD254" s="343" t="s">
        <v>588</v>
      </c>
      <c r="AE254" s="344" t="s">
        <v>550</v>
      </c>
      <c r="AF254" s="342" t="s">
        <v>552</v>
      </c>
    </row>
    <row r="255" spans="1:34">
      <c r="A255" s="101"/>
      <c r="B255" s="230"/>
      <c r="C255" s="226"/>
      <c r="D255" s="226" t="s">
        <v>2</v>
      </c>
      <c r="E255" s="226" t="s">
        <v>2</v>
      </c>
      <c r="F255" s="231"/>
      <c r="G255" s="231"/>
      <c r="H255" s="225"/>
      <c r="I255" s="231"/>
      <c r="J255" s="230"/>
      <c r="K255" s="231"/>
      <c r="L255" s="225"/>
      <c r="M255" s="78"/>
      <c r="S255" s="78"/>
      <c r="T255" s="78"/>
      <c r="U255" s="78"/>
      <c r="V255" s="78"/>
      <c r="W255" s="78"/>
      <c r="X255" s="78"/>
      <c r="Y255" s="78"/>
      <c r="Z255" s="78"/>
      <c r="AA255" s="324"/>
      <c r="AB255" s="348"/>
      <c r="AC255" s="331"/>
      <c r="AD255" s="176"/>
      <c r="AE255" s="331"/>
      <c r="AF255" s="331"/>
    </row>
    <row r="256" spans="1:34">
      <c r="A256" s="113">
        <v>0</v>
      </c>
      <c r="B256" s="232">
        <f t="shared" ref="B256:B267" si="46">+J18</f>
        <v>380.27599999999995</v>
      </c>
      <c r="C256" s="233">
        <f t="shared" ref="C256:C267" si="47">+J42</f>
        <v>39</v>
      </c>
      <c r="D256" s="233">
        <f t="shared" ref="D256:D267" si="48">+K18</f>
        <v>130.94999999999999</v>
      </c>
      <c r="E256" s="233">
        <f t="shared" ref="E256:E267" si="49">+K42</f>
        <v>0</v>
      </c>
      <c r="F256" s="234">
        <f t="shared" ref="F256:F267" si="50">+J69</f>
        <v>-274.84936079999966</v>
      </c>
      <c r="G256" s="234">
        <f t="shared" ref="G256:G267" si="51">+J96</f>
        <v>0</v>
      </c>
      <c r="H256" s="235">
        <f t="shared" ref="H256:H267" si="52">+C122</f>
        <v>-113.28289988179488</v>
      </c>
      <c r="I256" s="221">
        <f>0.35*$D$113*$D$114*(AA12-$J$275)*'Enf. convectivo nocturno'!G8</f>
        <v>-4304.7501955082053</v>
      </c>
      <c r="J256" s="232">
        <f t="shared" ref="J256:J267" si="53">+D149</f>
        <v>733.32</v>
      </c>
      <c r="K256" s="228">
        <f t="shared" ref="K256:K265" si="54">+F171</f>
        <v>40</v>
      </c>
      <c r="L256" s="224">
        <f t="shared" ref="L256:L267" si="55">+J212</f>
        <v>180</v>
      </c>
      <c r="M256" s="78"/>
      <c r="S256" s="78"/>
      <c r="T256" s="78"/>
      <c r="U256" s="78"/>
      <c r="V256" s="78"/>
      <c r="W256" s="78"/>
      <c r="X256" s="78"/>
      <c r="Y256" s="78"/>
      <c r="Z256" s="78"/>
      <c r="AA256" s="324"/>
      <c r="AB256" s="349">
        <f>SUM(B256:H256)</f>
        <v>162.09373931820534</v>
      </c>
      <c r="AC256" s="329">
        <f>+SUM(J256:L256)</f>
        <v>953.32</v>
      </c>
      <c r="AD256" s="332">
        <f>+AC256+AB256</f>
        <v>1115.4137393182054</v>
      </c>
      <c r="AE256" s="329">
        <f t="shared" ref="AE256:AE267" si="56">+I256</f>
        <v>-4304.7501955082053</v>
      </c>
      <c r="AF256" s="329">
        <f t="shared" ref="AF256:AF267" si="57">SUM(B256:L256)</f>
        <v>-3189.3364561899994</v>
      </c>
    </row>
    <row r="257" spans="1:32">
      <c r="A257" s="113">
        <v>2</v>
      </c>
      <c r="B257" s="232">
        <f t="shared" si="46"/>
        <v>297.63499999999999</v>
      </c>
      <c r="C257" s="233">
        <f t="shared" si="47"/>
        <v>29.25</v>
      </c>
      <c r="D257" s="233">
        <f t="shared" si="48"/>
        <v>130.94999999999999</v>
      </c>
      <c r="E257" s="233">
        <f t="shared" si="49"/>
        <v>0</v>
      </c>
      <c r="F257" s="234">
        <f t="shared" si="50"/>
        <v>-413.70201959999986</v>
      </c>
      <c r="G257" s="234">
        <f t="shared" si="51"/>
        <v>0</v>
      </c>
      <c r="H257" s="235">
        <f t="shared" si="52"/>
        <v>-170.51291052972746</v>
      </c>
      <c r="I257" s="221">
        <f>0.35*$D$113*$D$114*(AA13-$J$275)*'Enf. convectivo nocturno'!G9</f>
        <v>-6479.490600129644</v>
      </c>
      <c r="J257" s="232">
        <f t="shared" si="53"/>
        <v>733.32</v>
      </c>
      <c r="K257" s="228">
        <f t="shared" si="54"/>
        <v>40</v>
      </c>
      <c r="L257" s="224">
        <f t="shared" si="55"/>
        <v>180</v>
      </c>
      <c r="M257" s="78"/>
      <c r="S257" s="78"/>
      <c r="T257" s="78"/>
      <c r="U257" s="78"/>
      <c r="V257" s="78"/>
      <c r="W257" s="78"/>
      <c r="X257" s="78"/>
      <c r="Y257" s="78"/>
      <c r="Z257" s="78"/>
      <c r="AA257" s="324"/>
      <c r="AB257" s="349">
        <f t="shared" ref="AB257:AB266" si="58">SUM(B257:H257)</f>
        <v>-126.37993012972734</v>
      </c>
      <c r="AC257" s="329">
        <f t="shared" ref="AC257:AC266" si="59">+SUM(J257:L257)</f>
        <v>953.32</v>
      </c>
      <c r="AD257" s="332">
        <f t="shared" ref="AD257:AD266" si="60">+AC257+AB257</f>
        <v>826.94006987027274</v>
      </c>
      <c r="AE257" s="329">
        <f t="shared" si="56"/>
        <v>-6479.490600129644</v>
      </c>
      <c r="AF257" s="329">
        <f t="shared" si="57"/>
        <v>-5652.550530259372</v>
      </c>
    </row>
    <row r="258" spans="1:32">
      <c r="A258" s="113">
        <v>4</v>
      </c>
      <c r="B258" s="232">
        <f t="shared" si="46"/>
        <v>219.5453</v>
      </c>
      <c r="C258" s="233">
        <f t="shared" si="47"/>
        <v>29.25</v>
      </c>
      <c r="D258" s="233">
        <f t="shared" si="48"/>
        <v>130.94999999999999</v>
      </c>
      <c r="E258" s="233">
        <f t="shared" si="49"/>
        <v>0</v>
      </c>
      <c r="F258" s="234">
        <f t="shared" si="50"/>
        <v>-552.55467839999972</v>
      </c>
      <c r="G258" s="234">
        <f t="shared" si="51"/>
        <v>0</v>
      </c>
      <c r="H258" s="235">
        <f t="shared" si="52"/>
        <v>-227.74292117765989</v>
      </c>
      <c r="I258" s="221">
        <f>0.35*$D$113*$D$114*(AA14-$J$275)*'Enf. convectivo nocturno'!G10</f>
        <v>-8654.2310047510764</v>
      </c>
      <c r="J258" s="232">
        <f t="shared" si="53"/>
        <v>733.32</v>
      </c>
      <c r="K258" s="228">
        <f t="shared" si="54"/>
        <v>40</v>
      </c>
      <c r="L258" s="224">
        <f t="shared" si="55"/>
        <v>180</v>
      </c>
      <c r="M258" s="78"/>
      <c r="S258" s="78"/>
      <c r="T258" s="78"/>
      <c r="U258" s="78"/>
      <c r="V258" s="78"/>
      <c r="W258" s="78"/>
      <c r="X258" s="78"/>
      <c r="Y258" s="78"/>
      <c r="Z258" s="78"/>
      <c r="AA258" s="324"/>
      <c r="AB258" s="349">
        <f t="shared" si="58"/>
        <v>-400.5522995776596</v>
      </c>
      <c r="AC258" s="329">
        <f t="shared" si="59"/>
        <v>953.32</v>
      </c>
      <c r="AD258" s="332">
        <f t="shared" si="60"/>
        <v>552.76770042234045</v>
      </c>
      <c r="AE258" s="329">
        <f t="shared" si="56"/>
        <v>-8654.2310047510764</v>
      </c>
      <c r="AF258" s="329">
        <f t="shared" si="57"/>
        <v>-8101.4633043287358</v>
      </c>
    </row>
    <row r="259" spans="1:32">
      <c r="A259" s="113">
        <v>6</v>
      </c>
      <c r="B259" s="232">
        <f t="shared" si="46"/>
        <v>185.36179999999996</v>
      </c>
      <c r="C259" s="233">
        <f t="shared" si="47"/>
        <v>48.75</v>
      </c>
      <c r="D259" s="233">
        <f t="shared" si="48"/>
        <v>436.49999999999994</v>
      </c>
      <c r="E259" s="233">
        <f t="shared" si="49"/>
        <v>0</v>
      </c>
      <c r="F259" s="234">
        <f t="shared" si="50"/>
        <v>-646.23839999999984</v>
      </c>
      <c r="G259" s="234">
        <f t="shared" si="51"/>
        <v>221.67573119999997</v>
      </c>
      <c r="H259" s="235">
        <f t="shared" si="52"/>
        <v>-266.35594040999996</v>
      </c>
      <c r="I259" s="221">
        <f>0.35*$D$113*$D$114*(AA15-$J$275)*'Enf. convectivo nocturno'!G11</f>
        <v>-10121.525735579999</v>
      </c>
      <c r="J259" s="232">
        <f t="shared" si="53"/>
        <v>733.32</v>
      </c>
      <c r="K259" s="228">
        <f t="shared" si="54"/>
        <v>40</v>
      </c>
      <c r="L259" s="224">
        <f t="shared" si="55"/>
        <v>628</v>
      </c>
      <c r="M259" s="78"/>
      <c r="S259" s="78"/>
      <c r="T259" s="78"/>
      <c r="U259" s="78"/>
      <c r="V259" s="78"/>
      <c r="W259" s="78"/>
      <c r="X259" s="78"/>
      <c r="Y259" s="78"/>
      <c r="Z259" s="78"/>
      <c r="AA259" s="324"/>
      <c r="AB259" s="349">
        <f t="shared" si="58"/>
        <v>-20.306809209999926</v>
      </c>
      <c r="AC259" s="329">
        <f t="shared" si="59"/>
        <v>1401.3200000000002</v>
      </c>
      <c r="AD259" s="332">
        <f t="shared" si="60"/>
        <v>1381.0131907900002</v>
      </c>
      <c r="AE259" s="329">
        <f t="shared" si="56"/>
        <v>-10121.525735579999</v>
      </c>
      <c r="AF259" s="329">
        <f t="shared" si="57"/>
        <v>-8740.5125447899991</v>
      </c>
    </row>
    <row r="260" spans="1:32">
      <c r="A260" s="113">
        <v>8</v>
      </c>
      <c r="B260" s="232">
        <f t="shared" si="46"/>
        <v>172.0745</v>
      </c>
      <c r="C260" s="233">
        <f t="shared" si="47"/>
        <v>58.5</v>
      </c>
      <c r="D260" s="233">
        <f t="shared" si="48"/>
        <v>436.49999999999994</v>
      </c>
      <c r="E260" s="233">
        <f t="shared" si="49"/>
        <v>0</v>
      </c>
      <c r="F260" s="234">
        <f t="shared" si="50"/>
        <v>-460.54388039999998</v>
      </c>
      <c r="G260" s="234">
        <f t="shared" si="51"/>
        <v>661.23214080000002</v>
      </c>
      <c r="H260" s="235">
        <f t="shared" si="52"/>
        <v>-189.81942014589751</v>
      </c>
      <c r="I260" s="221">
        <f>0.35*$D$113*$D$114*(AA16-$J$275)*'Enf. convectivo nocturno'!G12</f>
        <v>-7213.1379655441051</v>
      </c>
      <c r="J260" s="232">
        <f t="shared" si="53"/>
        <v>1047.6000000000001</v>
      </c>
      <c r="K260" s="228">
        <f t="shared" si="54"/>
        <v>108</v>
      </c>
      <c r="L260" s="224">
        <f t="shared" si="55"/>
        <v>643</v>
      </c>
      <c r="M260" s="78"/>
      <c r="S260" s="78"/>
      <c r="T260" s="78"/>
      <c r="U260" s="78"/>
      <c r="V260" s="78"/>
      <c r="W260" s="78"/>
      <c r="X260" s="78"/>
      <c r="Y260" s="78"/>
      <c r="Z260" s="78"/>
      <c r="AA260" s="324"/>
      <c r="AB260" s="349">
        <f t="shared" si="58"/>
        <v>677.9433402541024</v>
      </c>
      <c r="AC260" s="329">
        <f t="shared" si="59"/>
        <v>1798.6000000000001</v>
      </c>
      <c r="AD260" s="332">
        <f t="shared" si="60"/>
        <v>2476.5433402541025</v>
      </c>
      <c r="AE260" s="329">
        <f t="shared" si="56"/>
        <v>-7213.1379655441051</v>
      </c>
      <c r="AF260" s="329">
        <f t="shared" si="57"/>
        <v>-4736.5946252900021</v>
      </c>
    </row>
    <row r="261" spans="1:32">
      <c r="A261" s="113">
        <v>10</v>
      </c>
      <c r="B261" s="232">
        <f t="shared" si="46"/>
        <v>225.08329999999995</v>
      </c>
      <c r="C261" s="233">
        <f t="shared" si="47"/>
        <v>97.5</v>
      </c>
      <c r="D261" s="233">
        <f t="shared" si="48"/>
        <v>436.49999999999994</v>
      </c>
      <c r="E261" s="233">
        <f t="shared" si="49"/>
        <v>0</v>
      </c>
      <c r="F261" s="234">
        <f t="shared" si="50"/>
        <v>329.07605880000011</v>
      </c>
      <c r="G261" s="234">
        <f t="shared" si="51"/>
        <v>1295.9547215999999</v>
      </c>
      <c r="H261" s="235">
        <f t="shared" si="52"/>
        <v>135.63317052668256</v>
      </c>
      <c r="I261" s="221">
        <f>0.35*$D$113*$D$114*(AA17-$J$275)*'Enf. convectivo nocturno'!G13</f>
        <v>0</v>
      </c>
      <c r="J261" s="232">
        <f t="shared" si="53"/>
        <v>628.56000000000006</v>
      </c>
      <c r="K261" s="228">
        <f t="shared" si="54"/>
        <v>72</v>
      </c>
      <c r="L261" s="224">
        <f t="shared" si="55"/>
        <v>268</v>
      </c>
      <c r="M261" s="78"/>
      <c r="S261" s="78"/>
      <c r="T261" s="78"/>
      <c r="U261" s="78"/>
      <c r="V261" s="78"/>
      <c r="W261" s="78"/>
      <c r="X261" s="78"/>
      <c r="Y261" s="78"/>
      <c r="Z261" s="78"/>
      <c r="AA261" s="324"/>
      <c r="AB261" s="349">
        <f t="shared" si="58"/>
        <v>2519.7472509266822</v>
      </c>
      <c r="AC261" s="329">
        <f t="shared" si="59"/>
        <v>968.56000000000006</v>
      </c>
      <c r="AD261" s="332">
        <f t="shared" si="60"/>
        <v>3488.3072509266822</v>
      </c>
      <c r="AE261" s="329">
        <f t="shared" si="56"/>
        <v>0</v>
      </c>
      <c r="AF261" s="329">
        <f t="shared" si="57"/>
        <v>3488.3072509266822</v>
      </c>
    </row>
    <row r="262" spans="1:32">
      <c r="A262" s="113">
        <v>12</v>
      </c>
      <c r="B262" s="232">
        <f t="shared" si="46"/>
        <v>252.39109999999994</v>
      </c>
      <c r="C262" s="233">
        <f t="shared" si="47"/>
        <v>156</v>
      </c>
      <c r="D262" s="233">
        <f t="shared" si="48"/>
        <v>480.14999999999992</v>
      </c>
      <c r="E262" s="233">
        <f t="shared" si="49"/>
        <v>0</v>
      </c>
      <c r="F262" s="234">
        <f t="shared" si="50"/>
        <v>794.14881960000002</v>
      </c>
      <c r="G262" s="234">
        <f t="shared" si="51"/>
        <v>1455.793416</v>
      </c>
      <c r="H262" s="235">
        <f t="shared" si="52"/>
        <v>327.31923028722758</v>
      </c>
      <c r="I262" s="221">
        <f>0.35*$D$113*$D$114*(AA18-$J$275)*'Enf. convectivo nocturno'!G14</f>
        <v>0</v>
      </c>
      <c r="J262" s="232">
        <f t="shared" si="53"/>
        <v>1319.9760000000001</v>
      </c>
      <c r="K262" s="228">
        <f t="shared" si="54"/>
        <v>0</v>
      </c>
      <c r="L262" s="224">
        <f t="shared" si="55"/>
        <v>1768</v>
      </c>
      <c r="M262" s="78"/>
      <c r="S262" s="78"/>
      <c r="T262" s="78"/>
      <c r="U262" s="78"/>
      <c r="V262" s="78"/>
      <c r="W262" s="78"/>
      <c r="X262" s="78"/>
      <c r="Y262" s="78"/>
      <c r="Z262" s="78"/>
      <c r="AA262" s="324"/>
      <c r="AB262" s="349">
        <f t="shared" si="58"/>
        <v>3465.8025658872275</v>
      </c>
      <c r="AC262" s="329">
        <f t="shared" si="59"/>
        <v>3087.9760000000001</v>
      </c>
      <c r="AD262" s="332">
        <f t="shared" si="60"/>
        <v>6553.7785658872272</v>
      </c>
      <c r="AE262" s="329">
        <f t="shared" si="56"/>
        <v>0</v>
      </c>
      <c r="AF262" s="329">
        <f t="shared" si="57"/>
        <v>6553.7785658872272</v>
      </c>
    </row>
    <row r="263" spans="1:32">
      <c r="A263" s="113">
        <v>14</v>
      </c>
      <c r="B263" s="232">
        <f t="shared" si="46"/>
        <v>336.46989999999994</v>
      </c>
      <c r="C263" s="233">
        <f t="shared" si="47"/>
        <v>156</v>
      </c>
      <c r="D263" s="233">
        <f t="shared" si="48"/>
        <v>742.05</v>
      </c>
      <c r="E263" s="233">
        <f t="shared" si="49"/>
        <v>0</v>
      </c>
      <c r="F263" s="234">
        <f t="shared" si="50"/>
        <v>1026.6851999999999</v>
      </c>
      <c r="G263" s="234">
        <f t="shared" si="51"/>
        <v>1139.2413647999999</v>
      </c>
      <c r="H263" s="235">
        <f t="shared" si="52"/>
        <v>423.16226016750005</v>
      </c>
      <c r="I263" s="221">
        <f>0.35*$D$113*$D$114*(AA19-$J$275)*'Enf. convectivo nocturno'!G15</f>
        <v>0</v>
      </c>
      <c r="J263" s="232">
        <f t="shared" si="53"/>
        <v>628.56000000000006</v>
      </c>
      <c r="K263" s="228">
        <f t="shared" si="54"/>
        <v>0</v>
      </c>
      <c r="L263" s="224">
        <f t="shared" si="55"/>
        <v>584</v>
      </c>
      <c r="M263" s="78"/>
      <c r="S263" s="78"/>
      <c r="T263" s="78"/>
      <c r="U263" s="78"/>
      <c r="V263" s="78"/>
      <c r="W263" s="78"/>
      <c r="X263" s="78"/>
      <c r="Y263" s="78"/>
      <c r="Z263" s="78"/>
      <c r="AA263" s="324"/>
      <c r="AB263" s="349">
        <f t="shared" si="58"/>
        <v>3823.6087249674993</v>
      </c>
      <c r="AC263" s="329">
        <f t="shared" si="59"/>
        <v>1212.56</v>
      </c>
      <c r="AD263" s="332">
        <f t="shared" si="60"/>
        <v>5036.1687249674997</v>
      </c>
      <c r="AE263" s="329">
        <f t="shared" si="56"/>
        <v>0</v>
      </c>
      <c r="AF263" s="329">
        <f t="shared" si="57"/>
        <v>5036.1687249674997</v>
      </c>
    </row>
    <row r="264" spans="1:32">
      <c r="A264" s="113">
        <v>16</v>
      </c>
      <c r="B264" s="232">
        <f t="shared" si="46"/>
        <v>394.88929999999988</v>
      </c>
      <c r="C264" s="233">
        <f t="shared" si="47"/>
        <v>117</v>
      </c>
      <c r="D264" s="233">
        <f t="shared" si="48"/>
        <v>872.99999999999989</v>
      </c>
      <c r="E264" s="233">
        <f t="shared" si="49"/>
        <v>0</v>
      </c>
      <c r="F264" s="234">
        <f t="shared" si="50"/>
        <v>887.83254120000015</v>
      </c>
      <c r="G264" s="234">
        <f t="shared" si="51"/>
        <v>385.97919360000009</v>
      </c>
      <c r="H264" s="235">
        <f t="shared" si="52"/>
        <v>365.93224951956762</v>
      </c>
      <c r="I264" s="221">
        <f>0.35*$D$113*$D$114*(AA20-$J$275)*'Enf. convectivo nocturno'!G16</f>
        <v>0</v>
      </c>
      <c r="J264" s="232">
        <f t="shared" si="53"/>
        <v>628.56000000000006</v>
      </c>
      <c r="K264" s="228">
        <f t="shared" si="54"/>
        <v>0</v>
      </c>
      <c r="L264" s="224">
        <f t="shared" si="55"/>
        <v>584</v>
      </c>
      <c r="M264" s="78"/>
      <c r="S264" s="78"/>
      <c r="T264" s="78"/>
      <c r="U264" s="78"/>
      <c r="V264" s="78"/>
      <c r="W264" s="78"/>
      <c r="X264" s="78"/>
      <c r="Y264" s="78"/>
      <c r="Z264" s="78"/>
      <c r="AA264" s="324"/>
      <c r="AB264" s="349">
        <f t="shared" si="58"/>
        <v>3024.6332843195678</v>
      </c>
      <c r="AC264" s="329">
        <f t="shared" si="59"/>
        <v>1212.56</v>
      </c>
      <c r="AD264" s="332">
        <f t="shared" si="60"/>
        <v>4237.1932843195682</v>
      </c>
      <c r="AE264" s="329">
        <f t="shared" si="56"/>
        <v>0</v>
      </c>
      <c r="AF264" s="329">
        <f t="shared" si="57"/>
        <v>4237.1932843195682</v>
      </c>
    </row>
    <row r="265" spans="1:32">
      <c r="A265" s="113">
        <v>18</v>
      </c>
      <c r="B265" s="232">
        <f t="shared" si="46"/>
        <v>472.79569999999995</v>
      </c>
      <c r="C265" s="233">
        <f t="shared" si="47"/>
        <v>97.5</v>
      </c>
      <c r="D265" s="233">
        <f t="shared" si="48"/>
        <v>1003.9499999999998</v>
      </c>
      <c r="E265" s="233">
        <f t="shared" si="49"/>
        <v>0</v>
      </c>
      <c r="F265" s="234">
        <f t="shared" si="50"/>
        <v>514.77057839999998</v>
      </c>
      <c r="G265" s="234">
        <f t="shared" si="51"/>
        <v>60.944083200000009</v>
      </c>
      <c r="H265" s="235">
        <f t="shared" si="52"/>
        <v>212.16969079078504</v>
      </c>
      <c r="I265" s="221">
        <f>0.35*$D$113*$D$114*(AA21-$J$275)*'Enf. convectivo nocturno'!G17</f>
        <v>0</v>
      </c>
      <c r="J265" s="232">
        <f t="shared" si="53"/>
        <v>628.56000000000006</v>
      </c>
      <c r="K265" s="228">
        <f t="shared" si="54"/>
        <v>72</v>
      </c>
      <c r="L265" s="224">
        <f t="shared" si="55"/>
        <v>959</v>
      </c>
      <c r="M265" s="78"/>
      <c r="S265" s="78"/>
      <c r="T265" s="78"/>
      <c r="U265" s="78"/>
      <c r="V265" s="78"/>
      <c r="W265" s="78"/>
      <c r="X265" s="78"/>
      <c r="Y265" s="78"/>
      <c r="Z265" s="78"/>
      <c r="AA265" s="324"/>
      <c r="AB265" s="349">
        <f t="shared" si="58"/>
        <v>2362.1300523907844</v>
      </c>
      <c r="AC265" s="329">
        <f t="shared" si="59"/>
        <v>1659.56</v>
      </c>
      <c r="AD265" s="332">
        <f t="shared" si="60"/>
        <v>4021.6900523907843</v>
      </c>
      <c r="AE265" s="329">
        <f t="shared" si="56"/>
        <v>0</v>
      </c>
      <c r="AF265" s="329">
        <f t="shared" si="57"/>
        <v>4021.6900523907843</v>
      </c>
    </row>
    <row r="266" spans="1:32">
      <c r="A266" s="113">
        <v>20</v>
      </c>
      <c r="B266" s="232">
        <f t="shared" si="46"/>
        <v>558.18489999999986</v>
      </c>
      <c r="C266" s="233">
        <f t="shared" si="47"/>
        <v>97.5</v>
      </c>
      <c r="D266" s="233">
        <f t="shared" si="48"/>
        <v>960.29999999999984</v>
      </c>
      <c r="E266" s="233">
        <f t="shared" si="49"/>
        <v>0</v>
      </c>
      <c r="F266" s="234">
        <f t="shared" si="50"/>
        <v>96.539678400000142</v>
      </c>
      <c r="G266" s="234">
        <f t="shared" si="51"/>
        <v>0</v>
      </c>
      <c r="H266" s="235">
        <f t="shared" si="52"/>
        <v>39.790140646410059</v>
      </c>
      <c r="I266" s="221">
        <f>0.35*$D$113*$D$114*(AA22-$J$275)*'Enf. convectivo nocturno'!G18</f>
        <v>0</v>
      </c>
      <c r="J266" s="232">
        <f t="shared" si="53"/>
        <v>1047.6000000000001</v>
      </c>
      <c r="K266" s="228">
        <f t="shared" ref="K266:K267" si="61">+F182</f>
        <v>148</v>
      </c>
      <c r="L266" s="224">
        <f t="shared" si="55"/>
        <v>584</v>
      </c>
      <c r="M266" s="78"/>
      <c r="S266" s="78"/>
      <c r="T266" s="78"/>
      <c r="U266" s="78"/>
      <c r="V266" s="78"/>
      <c r="W266" s="78"/>
      <c r="X266" s="78"/>
      <c r="Y266" s="78"/>
      <c r="Z266" s="78"/>
      <c r="AA266" s="324"/>
      <c r="AB266" s="349">
        <f t="shared" si="58"/>
        <v>1752.3147190464099</v>
      </c>
      <c r="AC266" s="329">
        <f t="shared" si="59"/>
        <v>1779.6000000000001</v>
      </c>
      <c r="AD266" s="332">
        <f t="shared" si="60"/>
        <v>3531.91471904641</v>
      </c>
      <c r="AE266" s="329">
        <f t="shared" si="56"/>
        <v>0</v>
      </c>
      <c r="AF266" s="329">
        <f t="shared" si="57"/>
        <v>3531.91471904641</v>
      </c>
    </row>
    <row r="267" spans="1:32">
      <c r="A267" s="106">
        <v>22</v>
      </c>
      <c r="B267" s="236">
        <f t="shared" si="46"/>
        <v>502.8932999999999</v>
      </c>
      <c r="C267" s="237">
        <f t="shared" si="47"/>
        <v>87.75</v>
      </c>
      <c r="D267" s="237">
        <f t="shared" si="48"/>
        <v>916.64999999999986</v>
      </c>
      <c r="E267" s="237">
        <f t="shared" si="49"/>
        <v>0</v>
      </c>
      <c r="F267" s="238">
        <f t="shared" si="50"/>
        <v>-129.3050075999999</v>
      </c>
      <c r="G267" s="238">
        <f t="shared" si="51"/>
        <v>0</v>
      </c>
      <c r="H267" s="239">
        <f t="shared" si="52"/>
        <v>-53.294816431552455</v>
      </c>
      <c r="I267" s="221">
        <f>0.35*$D$113*$D$114*(AA23-$J$275)*'Enf. convectivo nocturno'!G19</f>
        <v>-2025.2030243989932</v>
      </c>
      <c r="J267" s="236">
        <f t="shared" si="53"/>
        <v>838.08000000000015</v>
      </c>
      <c r="K267" s="228">
        <f t="shared" si="61"/>
        <v>672</v>
      </c>
      <c r="L267" s="227">
        <f t="shared" si="55"/>
        <v>3540</v>
      </c>
      <c r="M267" s="78"/>
      <c r="S267" s="78"/>
      <c r="T267" s="78"/>
      <c r="U267" s="78"/>
      <c r="V267" s="78"/>
      <c r="W267" s="78"/>
      <c r="X267" s="78"/>
      <c r="Y267" s="78"/>
      <c r="Z267" s="78"/>
      <c r="AA267" s="324"/>
      <c r="AB267" s="350">
        <f>SUM(B267:H267)</f>
        <v>1324.6934759684475</v>
      </c>
      <c r="AC267" s="325">
        <f>+SUM(J267:L267)</f>
        <v>5050.08</v>
      </c>
      <c r="AD267" s="332">
        <f>+AC267+AB267</f>
        <v>6374.7734759684472</v>
      </c>
      <c r="AE267" s="325">
        <f t="shared" si="56"/>
        <v>-2025.2030243989932</v>
      </c>
      <c r="AF267" s="325">
        <f t="shared" si="57"/>
        <v>4349.5704515694542</v>
      </c>
    </row>
    <row r="268" spans="1:32">
      <c r="A268" s="101"/>
      <c r="B268" s="231"/>
      <c r="C268" s="231"/>
      <c r="D268" s="231"/>
      <c r="E268" s="231"/>
      <c r="F268" s="231"/>
      <c r="G268" s="231"/>
      <c r="H268" s="231"/>
      <c r="I268" s="231"/>
      <c r="J268" s="231"/>
      <c r="K268" s="231"/>
      <c r="L268" s="225"/>
      <c r="M268" s="78"/>
      <c r="S268" s="78"/>
      <c r="T268" s="78"/>
      <c r="U268" s="78"/>
      <c r="V268" s="78"/>
      <c r="W268" s="78"/>
      <c r="X268" s="78"/>
      <c r="Y268" s="78"/>
      <c r="Z268" s="78"/>
      <c r="AA268" s="324"/>
      <c r="AB268" s="351"/>
      <c r="AC268" s="329"/>
      <c r="AD268" s="331"/>
      <c r="AE268" s="330"/>
      <c r="AF268" s="329"/>
    </row>
    <row r="269" spans="1:32">
      <c r="A269" s="113" t="s">
        <v>529</v>
      </c>
      <c r="B269" s="234">
        <f t="shared" ref="B269:L269" si="62">SUM(B256:B267)</f>
        <v>3997.6000999999992</v>
      </c>
      <c r="C269" s="234">
        <f t="shared" si="62"/>
        <v>1014</v>
      </c>
      <c r="D269" s="234">
        <f t="shared" si="62"/>
        <v>6678.45</v>
      </c>
      <c r="E269" s="234">
        <f t="shared" si="62"/>
        <v>0</v>
      </c>
      <c r="F269" s="234">
        <f t="shared" si="62"/>
        <v>1171.8595296000015</v>
      </c>
      <c r="G269" s="234">
        <f t="shared" si="62"/>
        <v>5220.8206511999997</v>
      </c>
      <c r="H269" s="234">
        <f t="shared" si="62"/>
        <v>482.99783336154053</v>
      </c>
      <c r="I269" s="234">
        <f t="shared" si="62"/>
        <v>-38798.338525912019</v>
      </c>
      <c r="J269" s="234">
        <f t="shared" si="62"/>
        <v>9700.7760000000017</v>
      </c>
      <c r="K269" s="234">
        <f t="shared" si="62"/>
        <v>1232</v>
      </c>
      <c r="L269" s="235">
        <f t="shared" si="62"/>
        <v>10098</v>
      </c>
      <c r="M269" s="78"/>
      <c r="S269" s="78"/>
      <c r="T269" s="78"/>
      <c r="U269" s="78"/>
      <c r="V269" s="78"/>
      <c r="W269" s="78"/>
      <c r="X269" s="78"/>
      <c r="Y269" s="78"/>
      <c r="Z269" s="78"/>
      <c r="AA269" s="324"/>
      <c r="AB269" s="352">
        <f>SUM(AB256:AB267)</f>
        <v>18565.728114161542</v>
      </c>
      <c r="AC269" s="325">
        <f>SUM(AC256:AC267)</f>
        <v>21030.775999999998</v>
      </c>
      <c r="AD269" s="325">
        <f>SUM(AD256:AD267)</f>
        <v>39596.504114161544</v>
      </c>
      <c r="AE269" s="325">
        <f>SUM(AE256:AE267)</f>
        <v>-38798.338525912019</v>
      </c>
      <c r="AF269" s="325">
        <f>SUM(AF256:AF267)</f>
        <v>798.16558824951608</v>
      </c>
    </row>
    <row r="270" spans="1:32">
      <c r="A270" s="106" t="s">
        <v>77</v>
      </c>
      <c r="B270" s="240">
        <f t="shared" ref="B270:H270" si="63">+B269/$AD$269</f>
        <v>0.10095841007767835</v>
      </c>
      <c r="C270" s="240">
        <f t="shared" si="63"/>
        <v>2.5608321307267794E-2</v>
      </c>
      <c r="D270" s="240">
        <f t="shared" si="63"/>
        <v>0.16866261679933195</v>
      </c>
      <c r="E270" s="240">
        <f t="shared" si="63"/>
        <v>0</v>
      </c>
      <c r="F270" s="240">
        <f t="shared" si="63"/>
        <v>2.9595025010828929E-2</v>
      </c>
      <c r="G270" s="240">
        <f t="shared" si="63"/>
        <v>0.13185054509225708</v>
      </c>
      <c r="H270" s="240">
        <f t="shared" si="63"/>
        <v>1.2197991821929505E-2</v>
      </c>
      <c r="I270" s="240"/>
      <c r="J270" s="240">
        <f>+J269/$AD$269</f>
        <v>0.24499071867636302</v>
      </c>
      <c r="K270" s="240">
        <f>+K269/$AD$269</f>
        <v>3.1113857840782962E-2</v>
      </c>
      <c r="L270" s="240">
        <f>+L269/$AD$269</f>
        <v>0.25502251337356036</v>
      </c>
      <c r="M270" s="78"/>
      <c r="N270" s="218"/>
      <c r="O270" s="218"/>
      <c r="P270" s="218"/>
      <c r="Q270" s="218"/>
      <c r="S270" s="78"/>
      <c r="T270" s="78"/>
      <c r="U270" s="78"/>
      <c r="V270" s="78"/>
      <c r="W270" s="78"/>
      <c r="X270" s="78"/>
      <c r="Y270" s="78"/>
      <c r="Z270" s="78"/>
      <c r="AA270" s="324"/>
      <c r="AB270" s="353"/>
      <c r="AC270" s="176"/>
      <c r="AD270" s="176"/>
      <c r="AE270" s="176"/>
      <c r="AF270" s="176"/>
    </row>
    <row r="271" spans="1:32">
      <c r="A271" s="88" t="s">
        <v>224</v>
      </c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</row>
    <row r="272" spans="1:32" ht="13.5" thickBot="1">
      <c r="A272" s="8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</row>
    <row r="273" spans="1:27">
      <c r="A273" s="267" t="s">
        <v>225</v>
      </c>
      <c r="B273" s="261"/>
      <c r="C273" s="261"/>
      <c r="D273" s="268">
        <f>MAX(AF256:AF267)</f>
        <v>6553.7785658872272</v>
      </c>
      <c r="E273" s="262" t="s">
        <v>400</v>
      </c>
      <c r="F273" s="260"/>
      <c r="G273" s="261"/>
      <c r="H273" s="262"/>
      <c r="I273" s="653" t="s">
        <v>724</v>
      </c>
      <c r="J273" s="654"/>
      <c r="K273" s="655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</row>
    <row r="274" spans="1:27">
      <c r="A274" s="69" t="s">
        <v>283</v>
      </c>
      <c r="B274" s="105"/>
      <c r="C274" s="105"/>
      <c r="D274" s="269">
        <f>+D273*3600/4186</f>
        <v>5636.3121923540411</v>
      </c>
      <c r="E274" s="264" t="s">
        <v>226</v>
      </c>
      <c r="F274" s="263" t="s">
        <v>428</v>
      </c>
      <c r="G274" s="105"/>
      <c r="H274" s="264"/>
      <c r="I274" s="656"/>
      <c r="J274" s="657"/>
      <c r="K274" s="65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</row>
    <row r="275" spans="1:27" ht="13.5" thickBot="1">
      <c r="A275" s="270" t="s">
        <v>284</v>
      </c>
      <c r="B275" s="271"/>
      <c r="C275" s="271"/>
      <c r="D275" s="272">
        <f>+D274/3000</f>
        <v>1.8787707307846804</v>
      </c>
      <c r="E275" s="266" t="s">
        <v>227</v>
      </c>
      <c r="F275" s="265" t="s">
        <v>429</v>
      </c>
      <c r="G275" s="280">
        <v>25</v>
      </c>
      <c r="H275" s="266" t="s">
        <v>98</v>
      </c>
      <c r="I275" s="265"/>
      <c r="J275" s="280">
        <v>25</v>
      </c>
      <c r="K275" s="266" t="s">
        <v>98</v>
      </c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>
      <c r="A276" s="88"/>
      <c r="B276" s="78"/>
      <c r="C276" s="78"/>
      <c r="D276" s="78"/>
      <c r="E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</row>
    <row r="277" spans="1:27">
      <c r="A277" s="8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</row>
    <row r="278" spans="1:27">
      <c r="A278" s="88"/>
      <c r="B278" s="78"/>
      <c r="C278" s="78" t="s">
        <v>2</v>
      </c>
      <c r="D278" s="88" t="s">
        <v>2</v>
      </c>
      <c r="E278" s="88" t="s">
        <v>2</v>
      </c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</row>
    <row r="279" spans="1:27">
      <c r="A279" s="88"/>
      <c r="B279" s="219" t="s">
        <v>140</v>
      </c>
      <c r="C279" s="89" t="s">
        <v>6</v>
      </c>
      <c r="D279" s="88" t="s">
        <v>584</v>
      </c>
      <c r="E279" s="88" t="s">
        <v>583</v>
      </c>
      <c r="F279" s="219" t="s">
        <v>216</v>
      </c>
      <c r="G279" s="219" t="s">
        <v>213</v>
      </c>
      <c r="H279" s="219" t="s">
        <v>214</v>
      </c>
      <c r="I279" s="219" t="s">
        <v>215</v>
      </c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</row>
    <row r="280" spans="1:27">
      <c r="A280" s="78"/>
      <c r="B280" s="78"/>
      <c r="C280" s="78"/>
      <c r="D280" s="78"/>
      <c r="E280" s="78"/>
      <c r="F280" s="78"/>
      <c r="G280" s="78"/>
      <c r="H280" s="78"/>
      <c r="I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</row>
    <row r="281" spans="1:27">
      <c r="A281" s="78"/>
      <c r="B281" s="222">
        <f>+B269+C269</f>
        <v>5011.6000999999997</v>
      </c>
      <c r="C281" s="222">
        <f>+D269+E269</f>
        <v>6678.45</v>
      </c>
      <c r="D281" s="222">
        <f t="shared" ref="D281:F282" si="64">+F269</f>
        <v>1171.8595296000015</v>
      </c>
      <c r="E281" s="222">
        <f t="shared" si="64"/>
        <v>5220.8206511999997</v>
      </c>
      <c r="F281" s="222">
        <f t="shared" si="64"/>
        <v>482.99783336154053</v>
      </c>
      <c r="G281" s="222">
        <f t="shared" ref="G281:I282" si="65">+J269</f>
        <v>9700.7760000000017</v>
      </c>
      <c r="H281" s="222">
        <f t="shared" si="65"/>
        <v>1232</v>
      </c>
      <c r="I281" s="222">
        <f t="shared" si="65"/>
        <v>10098</v>
      </c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</row>
    <row r="282" spans="1:27">
      <c r="A282" s="78"/>
      <c r="B282" s="334">
        <f>+B270+C270</f>
        <v>0.12656673138494615</v>
      </c>
      <c r="C282" s="334">
        <f>+D270+E270</f>
        <v>0.16866261679933195</v>
      </c>
      <c r="D282" s="334">
        <f t="shared" si="64"/>
        <v>2.9595025010828929E-2</v>
      </c>
      <c r="E282" s="334">
        <f t="shared" si="64"/>
        <v>0.13185054509225708</v>
      </c>
      <c r="F282" s="334">
        <f t="shared" si="64"/>
        <v>1.2197991821929505E-2</v>
      </c>
      <c r="G282" s="334">
        <f t="shared" si="65"/>
        <v>0.24499071867636302</v>
      </c>
      <c r="H282" s="334">
        <f t="shared" si="65"/>
        <v>3.1113857840782962E-2</v>
      </c>
      <c r="I282" s="334">
        <f t="shared" si="65"/>
        <v>0.25502251337356036</v>
      </c>
      <c r="J282" s="335">
        <f>SUM(B282:I282)</f>
        <v>0.99999999999999978</v>
      </c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</row>
    <row r="283" spans="1:27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</row>
    <row r="284" spans="1:27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</row>
    <row r="285" spans="1:27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</row>
    <row r="286" spans="1:27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</row>
    <row r="287" spans="1:2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</row>
    <row r="288" spans="1:27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</row>
    <row r="289" spans="1:27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</row>
    <row r="290" spans="1:27">
      <c r="A290" s="78"/>
      <c r="B290" s="78"/>
      <c r="C290" s="78"/>
      <c r="D290" s="78"/>
      <c r="E290" s="78"/>
      <c r="F290" s="78"/>
      <c r="G290" s="91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</row>
    <row r="291" spans="1:27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</row>
    <row r="292" spans="1:27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</row>
    <row r="293" spans="1:27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</row>
    <row r="294" spans="1:27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</row>
    <row r="295" spans="1:27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</row>
    <row r="296" spans="1:27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</row>
    <row r="297" spans="1:27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</row>
    <row r="298" spans="1:27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</row>
    <row r="299" spans="1:27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</row>
    <row r="300" spans="1:27">
      <c r="A300" s="8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</row>
    <row r="301" spans="1:27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</row>
    <row r="302" spans="1:27">
      <c r="A302" s="8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</row>
    <row r="303" spans="1:27">
      <c r="A303" s="8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</row>
    <row r="304" spans="1:27">
      <c r="A304" s="8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</row>
    <row r="305" spans="1:27">
      <c r="A305" s="8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</row>
    <row r="306" spans="1:27">
      <c r="A306" s="8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</row>
    <row r="307" spans="1:27">
      <c r="A307" s="8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</row>
    <row r="308" spans="1:27">
      <c r="A308" s="8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</row>
    <row r="309" spans="1:27"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</row>
    <row r="310" spans="1:27"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</row>
    <row r="311" spans="1:27"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</row>
    <row r="312" spans="1:27"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</row>
  </sheetData>
  <mergeCells count="1">
    <mergeCell ref="I273:K274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I26" sqref="I26"/>
    </sheetView>
  </sheetViews>
  <sheetFormatPr baseColWidth="10" defaultRowHeight="12.75"/>
  <cols>
    <col min="1" max="1" width="15" customWidth="1"/>
    <col min="8" max="8" width="12.140625" bestFit="1" customWidth="1"/>
  </cols>
  <sheetData>
    <row r="1" spans="1:1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6" t="s">
        <v>346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>
      <c r="A3" s="286" t="s">
        <v>577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>
      <c r="A4" s="286"/>
      <c r="B4" s="96"/>
      <c r="C4" s="96"/>
      <c r="D4" s="96"/>
      <c r="E4" s="176"/>
      <c r="F4" s="96" t="s">
        <v>347</v>
      </c>
      <c r="G4" s="96"/>
      <c r="H4" s="96"/>
      <c r="I4" s="333">
        <f>+'Balance enfriamiento'!AD269</f>
        <v>39596.504114161544</v>
      </c>
      <c r="J4" s="96" t="s">
        <v>453</v>
      </c>
      <c r="K4" s="97"/>
    </row>
    <row r="5" spans="1:11">
      <c r="A5" s="97" t="s">
        <v>348</v>
      </c>
      <c r="B5" s="97"/>
      <c r="C5" s="97"/>
      <c r="D5" s="97"/>
      <c r="E5" s="176"/>
      <c r="F5" s="97"/>
      <c r="G5" s="97"/>
      <c r="H5" s="97"/>
      <c r="I5" s="97"/>
      <c r="J5" s="97"/>
      <c r="K5" s="97"/>
    </row>
    <row r="6" spans="1:11">
      <c r="A6" s="97" t="s">
        <v>468</v>
      </c>
      <c r="B6" s="97"/>
      <c r="C6" s="97"/>
      <c r="D6" s="97"/>
      <c r="E6" s="176"/>
      <c r="F6" s="96" t="s">
        <v>535</v>
      </c>
      <c r="G6" s="96"/>
      <c r="H6" s="96"/>
      <c r="I6" s="97"/>
      <c r="J6" s="97"/>
      <c r="K6" s="97"/>
    </row>
    <row r="7" spans="1:11">
      <c r="A7" s="97"/>
      <c r="B7" s="97"/>
      <c r="C7" s="97"/>
      <c r="D7" s="97"/>
      <c r="E7" s="176"/>
      <c r="F7" s="96" t="s">
        <v>187</v>
      </c>
      <c r="G7" s="96" t="s">
        <v>210</v>
      </c>
      <c r="H7" s="96" t="s">
        <v>536</v>
      </c>
      <c r="I7" s="97"/>
      <c r="J7" s="97"/>
      <c r="K7" s="97"/>
    </row>
    <row r="8" spans="1:11">
      <c r="A8" s="97" t="s">
        <v>470</v>
      </c>
      <c r="B8" s="97"/>
      <c r="C8" s="97"/>
      <c r="D8" s="97"/>
      <c r="E8" s="176"/>
      <c r="F8" s="128">
        <v>0</v>
      </c>
      <c r="G8" s="128">
        <f>IF((0.35*'Balance enfriamiento'!$D$113*'Balance enfriamiento'!$D$114*('Balance enfriamiento'!AA12-'Balance enfriamiento'!$G$275))&lt;0,($B$16),0)</f>
        <v>19</v>
      </c>
      <c r="H8" s="99">
        <f>IF((0.35*'Balance enfriamiento'!$D$113*'Balance enfriamiento'!$D$114*('Balance enfriamiento'!AA12-'Balance enfriamiento'!$J$275)*G8)&lt;0,(0.35*'Balance enfriamiento'!$D$113*'Balance enfriamiento'!$D$114*('Balance enfriamiento'!AA12-'Balance enfriamiento'!$J$275)*G8),0)</f>
        <v>-4304.7501955082053</v>
      </c>
      <c r="I8" s="97" t="s">
        <v>223</v>
      </c>
      <c r="J8" s="97"/>
      <c r="K8" s="97"/>
    </row>
    <row r="9" spans="1:11">
      <c r="A9" s="97" t="s">
        <v>469</v>
      </c>
      <c r="B9" s="97"/>
      <c r="C9" s="97"/>
      <c r="D9" s="97"/>
      <c r="E9" s="176"/>
      <c r="F9" s="128">
        <v>2</v>
      </c>
      <c r="G9" s="128">
        <f>IF((0.35*'Balance enfriamiento'!$D$113*'Balance enfriamiento'!$D$114*('Balance enfriamiento'!AA13-'Balance enfriamiento'!$G$275))&lt;0,($B$16),0)</f>
        <v>19</v>
      </c>
      <c r="H9" s="99">
        <f>IF((0.35*'Balance enfriamiento'!$D$113*'Balance enfriamiento'!$D$114*('Balance enfriamiento'!AA13-'Balance enfriamiento'!$J$275)*G9)&lt;0,(0.35*'Balance enfriamiento'!$D$113*'Balance enfriamiento'!$D$114*('Balance enfriamiento'!AA13-'Balance enfriamiento'!$J$275)*G9),0)</f>
        <v>-6479.490600129644</v>
      </c>
      <c r="I9" s="97" t="s">
        <v>223</v>
      </c>
      <c r="J9" s="97"/>
      <c r="K9" s="97"/>
    </row>
    <row r="10" spans="1:11">
      <c r="A10" s="97"/>
      <c r="B10" s="97"/>
      <c r="C10" s="97"/>
      <c r="D10" s="97"/>
      <c r="E10" s="176"/>
      <c r="F10" s="128">
        <v>4</v>
      </c>
      <c r="G10" s="128">
        <f>IF((0.35*'Balance enfriamiento'!$D$113*'Balance enfriamiento'!$D$114*('Balance enfriamiento'!AA14-'Balance enfriamiento'!$G$275))&lt;0,($B$16),0)</f>
        <v>19</v>
      </c>
      <c r="H10" s="99">
        <f>IF((0.35*'Balance enfriamiento'!$D$113*'Balance enfriamiento'!$D$114*('Balance enfriamiento'!AA14-'Balance enfriamiento'!$J$275)*G10)&lt;0,(0.35*'Balance enfriamiento'!$D$113*'Balance enfriamiento'!$D$114*('Balance enfriamiento'!AA14-'Balance enfriamiento'!$J$275)*G10),0)</f>
        <v>-8654.2310047510764</v>
      </c>
      <c r="I10" s="97" t="s">
        <v>223</v>
      </c>
      <c r="J10" s="97"/>
      <c r="K10" s="97"/>
    </row>
    <row r="11" spans="1:11">
      <c r="A11" s="286" t="s">
        <v>555</v>
      </c>
      <c r="B11" s="97"/>
      <c r="C11" s="97"/>
      <c r="D11" s="97"/>
      <c r="E11" s="176"/>
      <c r="F11" s="128">
        <v>6</v>
      </c>
      <c r="G11" s="128">
        <f>IF((0.35*'Balance enfriamiento'!$D$113*'Balance enfriamiento'!$D$114*('Balance enfriamiento'!AA15-'Balance enfriamiento'!$G$275))&lt;0,($B$16),0)</f>
        <v>19</v>
      </c>
      <c r="H11" s="99">
        <f>IF((0.35*'Balance enfriamiento'!$D$113*'Balance enfriamiento'!$D$114*('Balance enfriamiento'!AA15-'Balance enfriamiento'!$J$275)*G11)&lt;0,(0.35*'Balance enfriamiento'!$D$113*'Balance enfriamiento'!$D$114*('Balance enfriamiento'!AA15-'Balance enfriamiento'!$J$275)*G11),0)</f>
        <v>-10121.525735579999</v>
      </c>
      <c r="I11" s="97" t="s">
        <v>223</v>
      </c>
      <c r="J11" s="97"/>
      <c r="K11" s="97"/>
    </row>
    <row r="12" spans="1:11">
      <c r="A12" s="97" t="s">
        <v>521</v>
      </c>
      <c r="B12" s="97"/>
      <c r="C12" s="97"/>
      <c r="D12" s="97"/>
      <c r="E12" s="176"/>
      <c r="F12" s="128">
        <v>8</v>
      </c>
      <c r="G12" s="128">
        <f>IF((0.35*'Balance enfriamiento'!$D$113*'Balance enfriamiento'!$D$114*('Balance enfriamiento'!AA16-'Balance enfriamiento'!$G$275))&lt;0,($B$16),0)</f>
        <v>19</v>
      </c>
      <c r="H12" s="99">
        <f>IF((0.35*'Balance enfriamiento'!$D$113*'Balance enfriamiento'!$D$114*('Balance enfriamiento'!AA16-'Balance enfriamiento'!$J$275)*G12)&lt;0,(0.35*'Balance enfriamiento'!$D$113*'Balance enfriamiento'!$D$114*('Balance enfriamiento'!AA16-'Balance enfriamiento'!$J$275)*G12),0)</f>
        <v>-7213.1379655441051</v>
      </c>
      <c r="I12" s="97" t="s">
        <v>223</v>
      </c>
      <c r="J12" s="97"/>
      <c r="K12" s="97"/>
    </row>
    <row r="13" spans="1:11">
      <c r="A13" s="286" t="s">
        <v>599</v>
      </c>
      <c r="B13" s="97"/>
      <c r="C13" s="97"/>
      <c r="D13" s="97"/>
      <c r="E13" s="176"/>
      <c r="F13" s="128">
        <v>10</v>
      </c>
      <c r="G13" s="128">
        <v>0</v>
      </c>
      <c r="H13" s="99">
        <f>IF((0.35*'Balance enfriamiento'!$D$113*'Balance enfriamiento'!$D$114*('Balance enfriamiento'!AA17-'Balance enfriamiento'!$J$275)*G13)&lt;0,(0.35*'Balance enfriamiento'!$D$113*'Balance enfriamiento'!$D$114*('Balance enfriamiento'!AA17-'Balance enfriamiento'!$J$275)*G13),0)</f>
        <v>0</v>
      </c>
      <c r="I13" s="97" t="s">
        <v>223</v>
      </c>
      <c r="J13" s="97"/>
      <c r="K13" s="97"/>
    </row>
    <row r="14" spans="1:11">
      <c r="A14" s="286" t="s">
        <v>600</v>
      </c>
      <c r="B14" s="97"/>
      <c r="C14" s="97"/>
      <c r="D14" s="97"/>
      <c r="E14" s="176"/>
      <c r="F14" s="128">
        <v>12</v>
      </c>
      <c r="G14" s="128">
        <f>IF((0.35*'Balance enfriamiento'!$D$113*'Balance enfriamiento'!$D$114*('Balance enfriamiento'!AA18-'Balance enfriamiento'!$G$275))&lt;0,($B$16),0)</f>
        <v>0</v>
      </c>
      <c r="H14" s="99">
        <f>IF((0.35*'Balance enfriamiento'!$D$113*'Balance enfriamiento'!$D$114*('Balance enfriamiento'!AA18-'Balance enfriamiento'!$J$275)*G14)&lt;0,(0.35*'Balance enfriamiento'!$D$113*'Balance enfriamiento'!$D$114*('Balance enfriamiento'!AA18-'Balance enfriamiento'!$J$275)*G14),0)</f>
        <v>0</v>
      </c>
      <c r="I14" s="97" t="s">
        <v>223</v>
      </c>
      <c r="J14" s="97"/>
      <c r="K14" s="97"/>
    </row>
    <row r="15" spans="1:11">
      <c r="A15" s="176"/>
      <c r="B15" s="176"/>
      <c r="C15" s="97"/>
      <c r="D15" s="97"/>
      <c r="E15" s="183"/>
      <c r="F15" s="128">
        <v>14</v>
      </c>
      <c r="G15" s="128">
        <f>IF((0.35*'Balance enfriamiento'!$D$113*'Balance enfriamiento'!$D$114*('Balance enfriamiento'!AA19-'Balance enfriamiento'!$G$275))&lt;0,($B$16),0)</f>
        <v>0</v>
      </c>
      <c r="H15" s="99">
        <f>IF((0.35*'Balance enfriamiento'!$D$113*'Balance enfriamiento'!$D$114*('Balance enfriamiento'!AA19-'Balance enfriamiento'!$J$275)*G15)&lt;0,(0.35*'Balance enfriamiento'!$D$113*'Balance enfriamiento'!$D$114*('Balance enfriamiento'!AA19-'Balance enfriamiento'!$J$275)*G15),0)</f>
        <v>0</v>
      </c>
      <c r="I15" s="97" t="s">
        <v>223</v>
      </c>
      <c r="J15" s="97"/>
      <c r="K15" s="97"/>
    </row>
    <row r="16" spans="1:11">
      <c r="A16" s="183" t="s">
        <v>401</v>
      </c>
      <c r="B16" s="336">
        <v>19</v>
      </c>
      <c r="C16" s="176"/>
      <c r="D16" s="176"/>
      <c r="E16" s="176"/>
      <c r="F16" s="128">
        <v>16</v>
      </c>
      <c r="G16" s="128">
        <f>IF((0.35*'Balance enfriamiento'!$D$113*'Balance enfriamiento'!$D$114*('Balance enfriamiento'!AA20-'Balance enfriamiento'!$G$275))&lt;0,($B$16),0)</f>
        <v>0</v>
      </c>
      <c r="H16" s="99">
        <f>IF((0.35*'Balance enfriamiento'!$D$113*'Balance enfriamiento'!$D$114*('Balance enfriamiento'!AA20-'Balance enfriamiento'!$J$275)*G16)&lt;0,(0.35*'Balance enfriamiento'!$D$113*'Balance enfriamiento'!$D$114*('Balance enfriamiento'!AA20-'Balance enfriamiento'!$J$275)*G16),0)</f>
        <v>0</v>
      </c>
      <c r="I16" s="97" t="s">
        <v>223</v>
      </c>
      <c r="J16" s="97"/>
      <c r="K16" s="97"/>
    </row>
    <row r="17" spans="1:11">
      <c r="A17" s="176"/>
      <c r="B17" s="176"/>
      <c r="C17" s="176"/>
      <c r="D17" s="176"/>
      <c r="E17" s="176"/>
      <c r="F17" s="128">
        <v>18</v>
      </c>
      <c r="G17" s="128">
        <f>IF((0.35*'Balance enfriamiento'!$D$113*'Balance enfriamiento'!$D$114*('Balance enfriamiento'!AA21-'Balance enfriamiento'!$G$275))&lt;0,($B$16),0)</f>
        <v>0</v>
      </c>
      <c r="H17" s="99">
        <f>IF((0.35*'Balance enfriamiento'!$D$113*'Balance enfriamiento'!$D$114*('Balance enfriamiento'!AA21-'Balance enfriamiento'!$J$275)*G17)&lt;0,(0.35*'Balance enfriamiento'!$D$113*'Balance enfriamiento'!$D$114*('Balance enfriamiento'!AA21-'Balance enfriamiento'!$J$275)*G17),0)</f>
        <v>0</v>
      </c>
      <c r="I17" s="97" t="s">
        <v>223</v>
      </c>
      <c r="J17" s="97"/>
      <c r="K17" s="97"/>
    </row>
    <row r="18" spans="1:11">
      <c r="A18" s="183" t="s">
        <v>349</v>
      </c>
      <c r="B18" s="183"/>
      <c r="C18" s="183"/>
      <c r="D18" s="183"/>
      <c r="E18" s="176"/>
      <c r="F18" s="128">
        <v>20</v>
      </c>
      <c r="G18" s="128">
        <f>IF((0.35*'Balance enfriamiento'!$D$113*'Balance enfriamiento'!$D$114*('Balance enfriamiento'!AA22-'Balance enfriamiento'!$G$275))&lt;0,($B$16),0)</f>
        <v>0</v>
      </c>
      <c r="H18" s="99">
        <f>IF((0.35*'Balance enfriamiento'!$D$113*'Balance enfriamiento'!$D$114*('Balance enfriamiento'!AA22-'Balance enfriamiento'!$J$275)*G18)&lt;0,(0.35*'Balance enfriamiento'!$D$113*'Balance enfriamiento'!$D$114*('Balance enfriamiento'!AA22-'Balance enfriamiento'!$J$275)*G18),0)</f>
        <v>0</v>
      </c>
      <c r="I18" s="97" t="s">
        <v>223</v>
      </c>
      <c r="J18" s="97"/>
      <c r="K18" s="97"/>
    </row>
    <row r="19" spans="1:11">
      <c r="A19" s="184" t="s">
        <v>556</v>
      </c>
      <c r="B19" s="183"/>
      <c r="C19" s="183"/>
      <c r="D19" s="183"/>
      <c r="E19" s="176"/>
      <c r="F19" s="128">
        <v>22</v>
      </c>
      <c r="G19" s="128">
        <f>IF((0.35*'Balance enfriamiento'!$D$113*'Balance enfriamiento'!$D$114*('Balance enfriamiento'!AA23-'Balance enfriamiento'!$G$275))&lt;0,($B$16),0)</f>
        <v>19</v>
      </c>
      <c r="H19" s="99">
        <f>IF((0.35*'Balance enfriamiento'!$D$113*'Balance enfriamiento'!$D$114*('Balance enfriamiento'!AA23-'Balance enfriamiento'!$J$275)*G19)&lt;0,(0.35*'Balance enfriamiento'!$D$113*'Balance enfriamiento'!$D$114*('Balance enfriamiento'!AA23-'Balance enfriamiento'!$J$275)*G19),0)</f>
        <v>-2025.2030243989932</v>
      </c>
      <c r="I19" s="97" t="s">
        <v>223</v>
      </c>
      <c r="J19" s="97"/>
      <c r="K19" s="97"/>
    </row>
    <row r="20" spans="1:11">
      <c r="A20" s="184" t="s">
        <v>557</v>
      </c>
      <c r="B20" s="183"/>
      <c r="C20" s="183"/>
      <c r="D20" s="183"/>
      <c r="E20" s="176"/>
      <c r="F20" s="97"/>
      <c r="G20" s="96"/>
      <c r="H20" s="96"/>
      <c r="I20" s="97"/>
      <c r="J20" s="97"/>
      <c r="K20" s="97"/>
    </row>
    <row r="21" spans="1:11">
      <c r="A21" s="184" t="s">
        <v>596</v>
      </c>
      <c r="B21" s="183"/>
      <c r="C21" s="183"/>
      <c r="D21" s="183"/>
      <c r="E21" s="176"/>
      <c r="F21" s="97"/>
      <c r="G21" s="127" t="s">
        <v>0</v>
      </c>
      <c r="H21" s="333">
        <f>SUM(H8:H19)</f>
        <v>-38798.338525912019</v>
      </c>
      <c r="I21" s="286" t="s">
        <v>453</v>
      </c>
      <c r="J21" s="97"/>
      <c r="K21" s="97"/>
    </row>
    <row r="22" spans="1:11">
      <c r="A22" s="176" t="s">
        <v>597</v>
      </c>
      <c r="B22" s="176"/>
      <c r="C22" s="176"/>
      <c r="D22" s="176"/>
      <c r="E22" s="176"/>
      <c r="F22" s="183"/>
      <c r="G22" s="183"/>
      <c r="H22" s="183"/>
      <c r="I22" s="183"/>
      <c r="J22" s="183"/>
      <c r="K22" s="183"/>
    </row>
    <row r="23" spans="1:11">
      <c r="A23" s="355" t="s">
        <v>598</v>
      </c>
      <c r="B23" s="176"/>
      <c r="C23" s="176"/>
      <c r="D23" s="176"/>
      <c r="E23" s="176"/>
      <c r="F23" s="183"/>
      <c r="G23" s="183"/>
      <c r="H23" s="183"/>
      <c r="I23" s="183"/>
      <c r="J23" s="183"/>
      <c r="K23" s="183"/>
    </row>
    <row r="24" spans="1:11">
      <c r="A24" s="176" t="s">
        <v>558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</row>
    <row r="25" spans="1:1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11">
      <c r="A28" s="96" t="s">
        <v>578</v>
      </c>
      <c r="B28" s="97"/>
      <c r="C28" s="97"/>
      <c r="D28" s="97"/>
      <c r="E28" s="97"/>
      <c r="F28" s="97"/>
      <c r="G28" s="97"/>
      <c r="H28" s="7"/>
      <c r="I28" s="7"/>
      <c r="J28" s="7"/>
      <c r="K28" s="7"/>
    </row>
    <row r="29" spans="1:11">
      <c r="A29" s="97" t="s">
        <v>575</v>
      </c>
      <c r="B29" s="97"/>
      <c r="C29" s="97"/>
      <c r="D29" s="97"/>
      <c r="E29" s="97"/>
      <c r="F29" s="97"/>
      <c r="G29" s="97"/>
      <c r="H29" s="7"/>
      <c r="I29" s="7"/>
      <c r="J29" s="7"/>
      <c r="K29" s="7"/>
    </row>
    <row r="30" spans="1:11">
      <c r="A30" s="96"/>
      <c r="B30" s="97"/>
      <c r="C30" s="97"/>
      <c r="D30" s="97"/>
      <c r="E30" s="97"/>
      <c r="F30" s="97"/>
      <c r="G30" s="97"/>
      <c r="H30" s="7"/>
      <c r="I30" s="7"/>
      <c r="J30" s="7"/>
      <c r="K30" s="7"/>
    </row>
    <row r="31" spans="1:11">
      <c r="A31" s="96" t="s">
        <v>574</v>
      </c>
      <c r="B31" s="97"/>
      <c r="C31" s="97"/>
      <c r="D31" s="97"/>
      <c r="E31" s="97"/>
      <c r="F31" s="97"/>
      <c r="G31" s="97"/>
      <c r="H31" s="7"/>
      <c r="I31" s="7"/>
      <c r="J31" s="7"/>
      <c r="K31" s="7"/>
    </row>
    <row r="32" spans="1:11">
      <c r="A32" s="97"/>
      <c r="B32" s="97"/>
      <c r="C32" s="97"/>
      <c r="D32" s="97"/>
      <c r="E32" s="97"/>
      <c r="F32" s="97"/>
      <c r="G32" s="97"/>
      <c r="H32" s="7"/>
      <c r="I32" s="7"/>
      <c r="J32" s="7"/>
      <c r="K32" s="7"/>
    </row>
    <row r="33" spans="1:11" ht="14.25">
      <c r="A33" s="286" t="s">
        <v>512</v>
      </c>
      <c r="B33" s="97"/>
      <c r="C33" s="97"/>
      <c r="D33" s="97"/>
      <c r="E33" s="220">
        <f>+superficies!D22</f>
        <v>261.89999999999998</v>
      </c>
      <c r="F33" s="286" t="s">
        <v>511</v>
      </c>
      <c r="G33" s="97"/>
      <c r="H33" s="7"/>
      <c r="I33" s="7"/>
      <c r="J33" s="7"/>
      <c r="K33" s="7"/>
    </row>
    <row r="34" spans="1:11">
      <c r="A34" s="97" t="s">
        <v>228</v>
      </c>
      <c r="B34" s="97"/>
      <c r="C34" s="97"/>
      <c r="D34" s="97"/>
      <c r="E34" s="128">
        <f>+'Enf. convectivo nocturno'!B16</f>
        <v>19</v>
      </c>
      <c r="F34" s="286" t="s">
        <v>515</v>
      </c>
      <c r="G34" s="97"/>
      <c r="H34" s="7"/>
      <c r="I34" s="7"/>
      <c r="J34" s="7"/>
      <c r="K34" s="7"/>
    </row>
    <row r="35" spans="1:11" ht="14.25">
      <c r="A35" s="286" t="s">
        <v>513</v>
      </c>
      <c r="B35" s="97"/>
      <c r="C35" s="97"/>
      <c r="D35" s="97"/>
      <c r="E35" s="128">
        <f>+E34*E33</f>
        <v>4976.0999999999995</v>
      </c>
      <c r="F35" s="286" t="s">
        <v>517</v>
      </c>
      <c r="G35" s="97"/>
      <c r="H35" s="7"/>
      <c r="I35" s="7"/>
      <c r="J35" s="7"/>
      <c r="K35" s="7"/>
    </row>
    <row r="36" spans="1:11">
      <c r="A36" s="286" t="s">
        <v>514</v>
      </c>
      <c r="B36" s="97"/>
      <c r="C36" s="97"/>
      <c r="D36" s="97"/>
      <c r="E36" s="147" t="str">
        <f>VLOOKUP(Lugar!E84,Lugar!A65:C84,2)</f>
        <v>Rama Caída</v>
      </c>
      <c r="F36" s="97"/>
      <c r="G36" s="97"/>
      <c r="H36" s="7"/>
      <c r="I36" s="7"/>
      <c r="J36" s="7"/>
      <c r="K36" s="7"/>
    </row>
    <row r="37" spans="1:11">
      <c r="A37" s="286" t="s">
        <v>518</v>
      </c>
      <c r="B37" s="97"/>
      <c r="C37" s="97"/>
      <c r="D37" s="97"/>
      <c r="E37" s="223">
        <f>VLOOKUP(Lugar!E84,Lugar!A65:D84,4)</f>
        <v>9</v>
      </c>
      <c r="F37" s="304" t="s">
        <v>516</v>
      </c>
      <c r="G37" s="97"/>
      <c r="H37" s="7"/>
      <c r="I37" s="7"/>
      <c r="J37" s="7"/>
      <c r="K37" s="7"/>
    </row>
    <row r="38" spans="1:11">
      <c r="A38" s="97" t="s">
        <v>528</v>
      </c>
      <c r="B38" s="97"/>
      <c r="C38" s="97"/>
      <c r="D38" s="97"/>
      <c r="E38" s="128" t="str">
        <f>VLOOKUP(Lugar!E84,Lugar!A64:I84,8)</f>
        <v>S</v>
      </c>
      <c r="F38" s="307" t="s">
        <v>523</v>
      </c>
      <c r="G38" s="308"/>
      <c r="H38" s="309"/>
      <c r="I38" s="7"/>
      <c r="J38" s="7"/>
      <c r="K38" s="7"/>
    </row>
    <row r="39" spans="1:11">
      <c r="A39" s="286" t="s">
        <v>478</v>
      </c>
      <c r="B39" s="97"/>
      <c r="C39" s="97"/>
      <c r="D39" s="97"/>
      <c r="E39" s="128">
        <f>VLOOKUP(Lugar!E84,Lugar!A64:I84,7)</f>
        <v>45</v>
      </c>
      <c r="F39" s="307" t="s">
        <v>477</v>
      </c>
      <c r="G39" s="308"/>
      <c r="H39" s="308" t="str">
        <f>VLOOKUP(Lugar!E84,Lugar!A64:I84,8)</f>
        <v>S</v>
      </c>
      <c r="I39" s="7"/>
      <c r="J39" s="7"/>
      <c r="K39" s="7"/>
    </row>
    <row r="40" spans="1:11">
      <c r="A40" s="286" t="s">
        <v>488</v>
      </c>
      <c r="B40" s="97"/>
      <c r="C40" s="97"/>
      <c r="D40" s="97"/>
      <c r="E40" s="97"/>
      <c r="F40" s="97"/>
      <c r="G40" s="97"/>
      <c r="H40" s="7"/>
      <c r="I40" s="7"/>
      <c r="J40" s="7"/>
      <c r="K40" s="7"/>
    </row>
    <row r="41" spans="1:11">
      <c r="A41" s="97"/>
      <c r="B41" s="286" t="s">
        <v>487</v>
      </c>
      <c r="C41" s="286"/>
      <c r="D41" s="97" t="s">
        <v>182</v>
      </c>
      <c r="E41" s="97">
        <f>IF($E$39&lt;22.5,0.4,IF($E$39&lt;40,0.4,IF($E$39&lt;60,0.25,IF($E$39&lt;=80,-0.06,-0.4))))</f>
        <v>0.25</v>
      </c>
      <c r="F41" s="97"/>
      <c r="G41" s="97"/>
      <c r="H41" s="7"/>
      <c r="I41" s="7"/>
      <c r="J41" s="7"/>
      <c r="K41" s="7"/>
    </row>
    <row r="42" spans="1:11">
      <c r="A42" s="97"/>
      <c r="B42" s="286" t="s">
        <v>487</v>
      </c>
      <c r="C42" s="97"/>
      <c r="D42" s="97" t="s">
        <v>229</v>
      </c>
      <c r="E42" s="97">
        <f>IF($E$39&lt;22.5,-0.4,IF($E$39&lt;40,-0.06,IF($E$39&lt;60,0.25,IF($E$39&lt;=80,0.3,0.4))))</f>
        <v>0.25</v>
      </c>
      <c r="F42" s="97"/>
      <c r="G42" s="97"/>
      <c r="H42" s="7"/>
      <c r="I42" s="7"/>
      <c r="J42" s="7"/>
      <c r="K42" s="7"/>
    </row>
    <row r="43" spans="1:11">
      <c r="A43" s="97"/>
      <c r="B43" s="286" t="s">
        <v>487</v>
      </c>
      <c r="C43" s="97"/>
      <c r="D43" s="97" t="s">
        <v>184</v>
      </c>
      <c r="E43" s="97">
        <f>IF($E$39&lt;22.5,-0.25,IF($E$39&lt;40,-0.4,IF($E$39&lt;60,-0.45,IF($E$39&lt;=80,-0.55,-0.4))))</f>
        <v>-0.45</v>
      </c>
      <c r="F43" s="97"/>
      <c r="G43" s="97"/>
      <c r="H43" s="7"/>
      <c r="I43" s="7"/>
      <c r="J43" s="7"/>
      <c r="K43" s="7"/>
    </row>
    <row r="44" spans="1:11">
      <c r="A44" s="97"/>
      <c r="B44" s="286" t="s">
        <v>487</v>
      </c>
      <c r="C44" s="97"/>
      <c r="D44" s="97" t="s">
        <v>230</v>
      </c>
      <c r="E44" s="97">
        <f>IF($E$39&lt;22.5,-0.4,IF($E$39&lt;40,-0.6,IF($E$39&lt;60,-0.45,IF($E$39&lt;=80,-0.4,-0.25))))</f>
        <v>-0.45</v>
      </c>
      <c r="F44" s="97"/>
      <c r="G44" s="97"/>
      <c r="H44" s="7"/>
      <c r="I44" s="7"/>
      <c r="J44" s="7"/>
      <c r="K44" s="7"/>
    </row>
    <row r="45" spans="1:11">
      <c r="A45" s="97"/>
      <c r="B45" s="286" t="s">
        <v>489</v>
      </c>
      <c r="C45" s="97"/>
      <c r="D45" s="97" t="s">
        <v>186</v>
      </c>
      <c r="E45" s="97">
        <v>-0.3</v>
      </c>
      <c r="F45" s="286" t="s">
        <v>580</v>
      </c>
      <c r="G45" s="97"/>
      <c r="H45" s="7"/>
      <c r="I45" s="7"/>
      <c r="J45" s="7"/>
      <c r="K45" s="7"/>
    </row>
    <row r="46" spans="1:11">
      <c r="A46" s="97"/>
      <c r="B46" s="97"/>
      <c r="C46" s="97"/>
      <c r="D46" s="97"/>
      <c r="E46" s="97"/>
      <c r="F46" s="97"/>
      <c r="G46" s="97"/>
      <c r="H46" s="7"/>
      <c r="I46" s="7"/>
      <c r="J46" s="7"/>
      <c r="K46" s="7"/>
    </row>
    <row r="47" spans="1:11">
      <c r="A47" s="97"/>
      <c r="B47" s="97"/>
      <c r="C47" s="97"/>
      <c r="D47" s="97"/>
      <c r="E47" s="286" t="s">
        <v>524</v>
      </c>
      <c r="F47" s="97"/>
      <c r="G47" s="97"/>
      <c r="H47" s="7"/>
      <c r="I47" s="286" t="s">
        <v>525</v>
      </c>
      <c r="J47" s="7"/>
      <c r="K47" s="7"/>
    </row>
    <row r="48" spans="1:11">
      <c r="A48" s="97"/>
      <c r="B48" s="97"/>
      <c r="C48" s="97"/>
      <c r="D48" s="97"/>
      <c r="E48" s="97" t="s">
        <v>527</v>
      </c>
      <c r="F48" s="97"/>
      <c r="G48" s="97"/>
      <c r="H48" s="7"/>
      <c r="I48" s="7" t="s">
        <v>526</v>
      </c>
      <c r="J48" s="7"/>
      <c r="K48" s="7"/>
    </row>
    <row r="49" spans="1:11">
      <c r="A49" s="97"/>
      <c r="B49" s="97"/>
      <c r="C49" s="97"/>
      <c r="D49" s="97"/>
      <c r="E49" s="97" t="str">
        <f>+F39</f>
        <v xml:space="preserve">   Lado "a" sería:</v>
      </c>
      <c r="F49" s="97"/>
      <c r="G49" s="97" t="str">
        <f>+H39</f>
        <v>S</v>
      </c>
      <c r="H49" s="97"/>
      <c r="I49" s="7"/>
      <c r="J49" s="7"/>
      <c r="K49" s="7"/>
    </row>
    <row r="50" spans="1:11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>
      <c r="A51" s="97"/>
      <c r="B51" s="97"/>
      <c r="C51" s="97"/>
      <c r="D51" s="97"/>
      <c r="E51" s="286" t="s">
        <v>479</v>
      </c>
      <c r="F51" s="97"/>
      <c r="G51" s="140" t="s">
        <v>480</v>
      </c>
      <c r="H51" s="7">
        <f>+E41-E43</f>
        <v>0.7</v>
      </c>
      <c r="I51" s="140" t="s">
        <v>490</v>
      </c>
      <c r="J51" s="7"/>
      <c r="K51" s="7"/>
    </row>
    <row r="52" spans="1:11">
      <c r="A52" s="97"/>
      <c r="B52" s="97"/>
      <c r="C52" s="97"/>
      <c r="D52" s="97"/>
      <c r="E52" s="286" t="s">
        <v>485</v>
      </c>
      <c r="F52" s="97"/>
      <c r="G52" s="140" t="s">
        <v>481</v>
      </c>
      <c r="H52" s="7">
        <f>+E41-E42</f>
        <v>0</v>
      </c>
      <c r="I52" s="140" t="s">
        <v>491</v>
      </c>
      <c r="J52" s="7"/>
      <c r="K52" s="7"/>
    </row>
    <row r="53" spans="1:11">
      <c r="A53" s="97"/>
      <c r="B53" s="97"/>
      <c r="C53" s="97"/>
      <c r="D53" s="97"/>
      <c r="E53" s="286" t="s">
        <v>486</v>
      </c>
      <c r="F53" s="97"/>
      <c r="G53" s="140" t="s">
        <v>482</v>
      </c>
      <c r="H53" s="7">
        <f>+E41-E44</f>
        <v>0.7</v>
      </c>
      <c r="I53" s="140" t="s">
        <v>492</v>
      </c>
      <c r="J53" s="7"/>
      <c r="K53" s="7"/>
    </row>
    <row r="54" spans="1:11">
      <c r="A54" s="97"/>
      <c r="B54" s="97"/>
      <c r="C54" s="97"/>
      <c r="D54" s="97"/>
      <c r="E54" s="286" t="s">
        <v>484</v>
      </c>
      <c r="F54" s="97"/>
      <c r="G54" s="140" t="s">
        <v>483</v>
      </c>
      <c r="H54" s="7">
        <f>+E41-E45</f>
        <v>0.55000000000000004</v>
      </c>
      <c r="I54" s="140" t="s">
        <v>493</v>
      </c>
      <c r="J54" s="7"/>
      <c r="K54" s="7"/>
    </row>
    <row r="55" spans="1:11">
      <c r="A55" s="97"/>
      <c r="B55" s="97"/>
      <c r="C55" s="97"/>
      <c r="D55" s="97"/>
      <c r="E55" s="97"/>
      <c r="F55" s="97"/>
      <c r="G55" s="97"/>
      <c r="H55" s="7"/>
      <c r="I55" s="7"/>
      <c r="J55" s="7"/>
      <c r="K55" s="7"/>
    </row>
    <row r="56" spans="1:11">
      <c r="A56" s="97"/>
      <c r="B56" s="97"/>
      <c r="C56" s="97"/>
      <c r="D56" s="97"/>
      <c r="E56" s="97"/>
      <c r="F56" s="97"/>
      <c r="G56" s="97"/>
      <c r="H56" s="7"/>
      <c r="I56" s="7"/>
      <c r="J56" s="7"/>
      <c r="K56" s="7"/>
    </row>
    <row r="57" spans="1:11">
      <c r="A57" s="97"/>
      <c r="B57" s="97"/>
      <c r="C57" s="97"/>
      <c r="D57" s="97"/>
      <c r="E57" s="97"/>
      <c r="F57" s="97"/>
      <c r="G57" s="97"/>
      <c r="H57" s="7"/>
      <c r="I57" s="7"/>
      <c r="J57" s="7"/>
      <c r="K57" s="7"/>
    </row>
    <row r="58" spans="1:11">
      <c r="A58" s="97"/>
      <c r="B58" s="97"/>
      <c r="C58" s="97"/>
      <c r="D58" s="97"/>
      <c r="E58" s="97"/>
      <c r="F58" s="97"/>
      <c r="G58" s="97"/>
      <c r="H58" s="7"/>
      <c r="I58" s="7"/>
      <c r="J58" s="7"/>
      <c r="K58" s="7"/>
    </row>
    <row r="59" spans="1:11">
      <c r="A59" s="97"/>
      <c r="B59" s="97"/>
      <c r="C59" s="97"/>
      <c r="D59" s="97"/>
      <c r="E59" s="97"/>
      <c r="F59" s="97"/>
      <c r="G59" s="97"/>
      <c r="H59" s="7"/>
      <c r="I59" s="7"/>
      <c r="J59" s="7"/>
      <c r="K59" s="7"/>
    </row>
    <row r="60" spans="1:11">
      <c r="A60" s="97" t="s">
        <v>231</v>
      </c>
      <c r="B60" s="97"/>
      <c r="C60" s="97"/>
      <c r="D60" s="97"/>
      <c r="E60" s="97"/>
      <c r="F60" s="97"/>
      <c r="G60" s="97"/>
      <c r="H60" s="7"/>
      <c r="I60" s="7"/>
      <c r="J60" s="7"/>
      <c r="K60" s="7"/>
    </row>
    <row r="61" spans="1:11">
      <c r="A61" s="97" t="s">
        <v>232</v>
      </c>
      <c r="B61" s="97"/>
      <c r="C61" s="97"/>
      <c r="D61" s="97"/>
      <c r="E61" s="90">
        <v>0.65</v>
      </c>
      <c r="F61" s="97"/>
      <c r="G61" s="286" t="s">
        <v>495</v>
      </c>
      <c r="H61" s="7"/>
      <c r="I61" s="7"/>
      <c r="J61" s="7"/>
      <c r="K61" s="7"/>
    </row>
    <row r="62" spans="1:11">
      <c r="A62" s="97"/>
      <c r="B62" s="97"/>
      <c r="C62" s="97"/>
      <c r="D62" s="97"/>
      <c r="E62" s="286" t="s">
        <v>2</v>
      </c>
      <c r="F62" s="97"/>
      <c r="G62" s="286" t="s">
        <v>494</v>
      </c>
      <c r="H62" s="7"/>
      <c r="I62" s="7"/>
      <c r="J62" s="7"/>
      <c r="K62" s="7"/>
    </row>
    <row r="63" spans="1:11">
      <c r="A63" s="286" t="s">
        <v>496</v>
      </c>
      <c r="B63" s="97"/>
      <c r="C63" s="97"/>
      <c r="D63" s="97"/>
      <c r="E63" s="97"/>
      <c r="F63" s="97"/>
      <c r="G63" s="97"/>
      <c r="H63" s="7"/>
      <c r="I63" s="7"/>
      <c r="J63" s="7"/>
      <c r="K63" s="7"/>
    </row>
    <row r="64" spans="1:11">
      <c r="A64" s="97"/>
      <c r="B64" s="97"/>
      <c r="C64" s="97"/>
      <c r="D64" s="97"/>
      <c r="E64" s="97"/>
      <c r="F64" s="97"/>
      <c r="G64" s="97"/>
      <c r="H64" s="7"/>
      <c r="I64" s="7"/>
      <c r="J64" s="7"/>
      <c r="K64" s="7"/>
    </row>
    <row r="65" spans="1:11">
      <c r="A65" s="97"/>
      <c r="B65" s="97" t="s">
        <v>471</v>
      </c>
      <c r="C65" s="97"/>
      <c r="D65" s="97"/>
      <c r="E65" s="90">
        <v>12</v>
      </c>
      <c r="F65" s="97" t="s">
        <v>473</v>
      </c>
      <c r="G65" s="286" t="s">
        <v>508</v>
      </c>
      <c r="H65" s="7"/>
      <c r="I65" s="7"/>
      <c r="J65" s="7"/>
      <c r="K65" s="7"/>
    </row>
    <row r="66" spans="1:11">
      <c r="A66" s="97"/>
      <c r="B66" s="97" t="s">
        <v>472</v>
      </c>
      <c r="C66" s="97"/>
      <c r="D66" s="97"/>
      <c r="E66" s="90">
        <v>6</v>
      </c>
      <c r="F66" s="97" t="s">
        <v>473</v>
      </c>
      <c r="G66" s="97"/>
      <c r="H66" s="7"/>
      <c r="I66" s="7"/>
      <c r="J66" s="7"/>
      <c r="K66" s="7"/>
    </row>
    <row r="67" spans="1:11">
      <c r="A67" s="97"/>
      <c r="B67" s="97" t="s">
        <v>233</v>
      </c>
      <c r="C67" s="97"/>
      <c r="D67" s="97"/>
      <c r="E67" s="97">
        <f>+E65/E66</f>
        <v>2</v>
      </c>
      <c r="F67" s="97" t="s">
        <v>2</v>
      </c>
      <c r="G67" s="97"/>
      <c r="H67" s="7"/>
      <c r="I67" s="7"/>
      <c r="J67" s="7"/>
      <c r="K67" s="7"/>
    </row>
    <row r="68" spans="1:11">
      <c r="A68" s="97"/>
      <c r="B68" s="97" t="s">
        <v>234</v>
      </c>
      <c r="C68" s="97"/>
      <c r="D68" s="97"/>
      <c r="E68" s="97">
        <f>IF(E67&lt;=6,0.0304+0.1689*E67,0.0304+0.1689*6)</f>
        <v>0.36819999999999997</v>
      </c>
      <c r="F68" s="97" t="s">
        <v>2</v>
      </c>
      <c r="G68" s="97"/>
      <c r="H68" s="7"/>
      <c r="I68" s="7"/>
      <c r="J68" s="7"/>
      <c r="K68" s="7"/>
    </row>
    <row r="69" spans="1:11">
      <c r="A69" s="97"/>
      <c r="B69" s="97" t="s">
        <v>235</v>
      </c>
      <c r="C69" s="97"/>
      <c r="D69" s="97"/>
      <c r="E69" s="97">
        <f>IF(E67&lt;=6,0.0421+0.2264*E67,0.0421+0.2264*6)</f>
        <v>0.49490000000000001</v>
      </c>
      <c r="F69" s="97"/>
      <c r="G69" s="97"/>
      <c r="H69" s="7"/>
      <c r="I69" s="7"/>
      <c r="J69" s="7"/>
      <c r="K69" s="7"/>
    </row>
    <row r="70" spans="1:11">
      <c r="A70" s="97"/>
      <c r="B70" s="97"/>
      <c r="C70" s="97"/>
      <c r="D70" s="97"/>
      <c r="E70" s="97"/>
      <c r="F70" s="97"/>
      <c r="G70" s="97"/>
      <c r="H70" s="7"/>
      <c r="I70" s="7"/>
      <c r="J70" s="7"/>
      <c r="K70" s="7"/>
    </row>
    <row r="71" spans="1:11">
      <c r="A71" s="97" t="s">
        <v>236</v>
      </c>
      <c r="B71" s="97"/>
      <c r="C71" s="97"/>
      <c r="D71" s="97"/>
      <c r="E71" s="97"/>
      <c r="F71" s="97"/>
      <c r="G71" s="97"/>
      <c r="H71" s="7"/>
      <c r="I71" s="7"/>
      <c r="J71" s="7"/>
      <c r="K71" s="7"/>
    </row>
    <row r="72" spans="1:11">
      <c r="A72" s="97"/>
      <c r="B72" s="97" t="s">
        <v>237</v>
      </c>
      <c r="C72" s="97"/>
      <c r="D72" s="97"/>
      <c r="E72" s="97">
        <f>+E68*E61</f>
        <v>0.23932999999999999</v>
      </c>
      <c r="F72" s="97"/>
      <c r="G72" s="97"/>
      <c r="H72" s="7"/>
      <c r="I72" s="7"/>
      <c r="J72" s="7"/>
      <c r="K72" s="7"/>
    </row>
    <row r="73" spans="1:11">
      <c r="A73" s="97"/>
      <c r="B73" s="97" t="s">
        <v>238</v>
      </c>
      <c r="C73" s="97"/>
      <c r="D73" s="97"/>
      <c r="E73" s="97">
        <f>+E69*E61</f>
        <v>0.321685</v>
      </c>
      <c r="F73" s="97"/>
      <c r="G73" s="97"/>
      <c r="H73" s="7"/>
      <c r="I73" s="7"/>
      <c r="J73" s="7"/>
      <c r="K73" s="7"/>
    </row>
    <row r="74" spans="1:11">
      <c r="A74" s="97"/>
      <c r="B74" s="97"/>
      <c r="C74" s="97"/>
      <c r="D74" s="97"/>
      <c r="E74" s="97"/>
      <c r="F74" s="97"/>
      <c r="G74" s="97"/>
      <c r="H74" s="7"/>
      <c r="I74" s="7"/>
      <c r="J74" s="7"/>
      <c r="K74" s="7"/>
    </row>
    <row r="75" spans="1:11">
      <c r="A75" s="97" t="s">
        <v>239</v>
      </c>
      <c r="B75" s="97"/>
      <c r="C75" s="97"/>
      <c r="D75" s="97"/>
      <c r="E75" s="97"/>
      <c r="F75" s="128"/>
      <c r="G75" s="128"/>
      <c r="H75" s="7"/>
      <c r="I75" s="7"/>
      <c r="J75" s="7"/>
      <c r="K75" s="7"/>
    </row>
    <row r="76" spans="1:11">
      <c r="A76" s="97"/>
      <c r="B76" s="97"/>
      <c r="C76" s="97"/>
      <c r="D76" s="97" t="s">
        <v>474</v>
      </c>
      <c r="E76" s="97"/>
      <c r="F76" s="285" t="s">
        <v>497</v>
      </c>
      <c r="G76" s="285" t="s">
        <v>498</v>
      </c>
      <c r="H76" s="7"/>
      <c r="I76" s="7"/>
      <c r="J76" s="7"/>
      <c r="K76" s="7"/>
    </row>
    <row r="77" spans="1:11">
      <c r="A77" s="97"/>
      <c r="B77" s="97"/>
      <c r="C77" s="97"/>
      <c r="D77" s="97"/>
      <c r="E77" s="97"/>
      <c r="F77" s="128"/>
      <c r="G77" s="128"/>
      <c r="H77" s="7"/>
      <c r="I77" s="7"/>
      <c r="J77" s="7"/>
      <c r="K77" s="7"/>
    </row>
    <row r="78" spans="1:11">
      <c r="A78" s="97"/>
      <c r="B78" s="97" t="s">
        <v>240</v>
      </c>
      <c r="C78" s="97"/>
      <c r="D78" s="97"/>
      <c r="E78" s="97"/>
      <c r="F78" s="128">
        <v>1.3</v>
      </c>
      <c r="G78" s="128">
        <v>0.98</v>
      </c>
      <c r="H78" s="7"/>
      <c r="I78" s="7"/>
      <c r="J78" s="7"/>
      <c r="K78" s="7"/>
    </row>
    <row r="79" spans="1:11">
      <c r="A79" s="97"/>
      <c r="B79" s="97" t="s">
        <v>241</v>
      </c>
      <c r="C79" s="97"/>
      <c r="D79" s="97"/>
      <c r="E79" s="97"/>
      <c r="F79" s="128">
        <v>1</v>
      </c>
      <c r="G79" s="128">
        <v>0.75</v>
      </c>
      <c r="H79" s="7"/>
      <c r="I79" s="7"/>
      <c r="J79" s="7"/>
      <c r="K79" s="7"/>
    </row>
    <row r="80" spans="1:11">
      <c r="A80" s="97"/>
      <c r="B80" s="97" t="s">
        <v>242</v>
      </c>
      <c r="C80" s="97"/>
      <c r="D80" s="97"/>
      <c r="E80" s="97"/>
      <c r="F80" s="128">
        <v>0.85</v>
      </c>
      <c r="G80" s="128">
        <v>0.64</v>
      </c>
      <c r="H80" s="7"/>
      <c r="I80" s="7"/>
      <c r="J80" s="7"/>
      <c r="K80" s="7"/>
    </row>
    <row r="81" spans="1:11">
      <c r="A81" s="97"/>
      <c r="B81" s="97" t="s">
        <v>243</v>
      </c>
      <c r="C81" s="97"/>
      <c r="D81" s="97"/>
      <c r="E81" s="97"/>
      <c r="F81" s="128">
        <v>0.67</v>
      </c>
      <c r="G81" s="128">
        <v>0.5</v>
      </c>
      <c r="H81" s="7"/>
      <c r="I81" s="7"/>
      <c r="J81" s="7"/>
      <c r="K81" s="7"/>
    </row>
    <row r="82" spans="1:11">
      <c r="A82" s="97"/>
      <c r="B82" s="97" t="s">
        <v>244</v>
      </c>
      <c r="C82" s="97"/>
      <c r="D82" s="97"/>
      <c r="E82" s="97"/>
      <c r="F82" s="128">
        <v>0.47</v>
      </c>
      <c r="G82" s="128">
        <v>0.35</v>
      </c>
      <c r="H82" s="7"/>
      <c r="I82" s="7"/>
      <c r="J82" s="7"/>
      <c r="K82" s="7"/>
    </row>
    <row r="83" spans="1:11">
      <c r="A83" s="97"/>
      <c r="B83" s="97"/>
      <c r="C83" s="97"/>
      <c r="D83" s="97"/>
      <c r="E83" s="97"/>
      <c r="F83" s="97"/>
      <c r="G83" s="97"/>
      <c r="H83" s="7"/>
      <c r="I83" s="7"/>
      <c r="J83" s="7"/>
      <c r="K83" s="7"/>
    </row>
    <row r="84" spans="1:11">
      <c r="A84" s="97"/>
      <c r="B84" s="97" t="s">
        <v>245</v>
      </c>
      <c r="C84" s="97" t="s">
        <v>2</v>
      </c>
      <c r="D84" s="90">
        <v>0.64</v>
      </c>
      <c r="E84" s="97"/>
      <c r="F84" s="97"/>
      <c r="G84" s="97"/>
      <c r="H84" s="7"/>
      <c r="I84" s="7"/>
      <c r="J84" s="7"/>
      <c r="K84" s="7"/>
    </row>
    <row r="85" spans="1:11">
      <c r="A85" s="97"/>
      <c r="B85" s="97"/>
      <c r="C85" s="97"/>
      <c r="D85" s="97"/>
      <c r="E85" s="97"/>
      <c r="F85" s="97"/>
      <c r="G85" s="97"/>
      <c r="H85" s="7"/>
      <c r="I85" s="7"/>
      <c r="J85" s="7"/>
      <c r="K85" s="7"/>
    </row>
    <row r="86" spans="1:11">
      <c r="A86" s="97" t="s">
        <v>246</v>
      </c>
      <c r="B86" s="97"/>
      <c r="C86" s="97"/>
      <c r="D86" s="97"/>
      <c r="E86" s="97"/>
      <c r="F86" s="97"/>
      <c r="G86" s="97"/>
      <c r="H86" s="7"/>
      <c r="I86" s="7"/>
      <c r="J86" s="7"/>
      <c r="K86" s="7"/>
    </row>
    <row r="87" spans="1:11">
      <c r="A87" s="97"/>
      <c r="B87" s="97"/>
      <c r="C87" s="97"/>
      <c r="D87" s="97">
        <f>+E37*D84*1000</f>
        <v>5760</v>
      </c>
      <c r="E87" s="97" t="s">
        <v>256</v>
      </c>
      <c r="F87" s="97"/>
      <c r="G87" s="97"/>
      <c r="H87" s="7"/>
      <c r="I87" s="7"/>
      <c r="J87" s="7"/>
      <c r="K87" s="7"/>
    </row>
    <row r="88" spans="1:11">
      <c r="A88" s="97"/>
      <c r="B88" s="97"/>
      <c r="C88" s="97"/>
      <c r="D88" s="97"/>
      <c r="E88" s="97"/>
      <c r="F88" s="97"/>
      <c r="G88" s="97"/>
      <c r="H88" s="7"/>
      <c r="I88" s="7"/>
      <c r="J88" s="7"/>
      <c r="K88" s="7"/>
    </row>
    <row r="89" spans="1:11">
      <c r="A89" s="97" t="s">
        <v>247</v>
      </c>
      <c r="B89" s="97"/>
      <c r="C89" s="97"/>
      <c r="D89" s="97"/>
      <c r="E89" s="97"/>
      <c r="F89" s="97"/>
      <c r="G89" s="97"/>
      <c r="H89" s="7"/>
      <c r="I89" s="7"/>
      <c r="J89" s="7"/>
      <c r="K89" s="7"/>
    </row>
    <row r="90" spans="1:11">
      <c r="A90" s="97"/>
      <c r="B90" s="97"/>
      <c r="C90" s="97"/>
      <c r="D90" s="97"/>
      <c r="E90" s="97"/>
      <c r="F90" s="97"/>
      <c r="G90" s="97"/>
      <c r="H90" s="7"/>
      <c r="I90" s="7"/>
      <c r="J90" s="7"/>
      <c r="K90" s="7"/>
    </row>
    <row r="91" spans="1:11">
      <c r="A91" s="97" t="s">
        <v>248</v>
      </c>
      <c r="B91" s="97"/>
      <c r="C91" s="97"/>
      <c r="D91" s="99">
        <f>1.56*$E$35/($D$87*SQRT(E72))</f>
        <v>2.7548162993761784</v>
      </c>
      <c r="E91" s="97" t="s">
        <v>27</v>
      </c>
      <c r="F91" s="97"/>
      <c r="G91" s="97"/>
      <c r="H91" s="7"/>
      <c r="I91" s="7"/>
      <c r="J91" s="7"/>
      <c r="K91" s="7"/>
    </row>
    <row r="92" spans="1:11">
      <c r="A92" s="286" t="s">
        <v>576</v>
      </c>
      <c r="B92" s="97"/>
      <c r="C92" s="97"/>
      <c r="D92" s="99">
        <f>1.56*$E$35/($D$87*SQRT(E73))</f>
        <v>2.3761607021779398</v>
      </c>
      <c r="E92" s="97" t="s">
        <v>27</v>
      </c>
      <c r="F92" s="97"/>
      <c r="G92" s="97"/>
      <c r="H92" s="7"/>
      <c r="I92" s="7"/>
      <c r="J92" s="7"/>
      <c r="K92" s="7"/>
    </row>
    <row r="93" spans="1:11" ht="13.5" thickBot="1">
      <c r="A93" s="97"/>
      <c r="B93" s="97"/>
      <c r="C93" s="97"/>
      <c r="D93" s="99"/>
      <c r="E93" s="97"/>
      <c r="F93" s="97"/>
      <c r="G93" s="97"/>
      <c r="H93" s="7"/>
      <c r="I93" s="7"/>
      <c r="J93" s="7"/>
      <c r="K93" s="7"/>
    </row>
    <row r="94" spans="1:11">
      <c r="A94" s="267" t="s">
        <v>501</v>
      </c>
      <c r="B94" s="261"/>
      <c r="C94" s="261"/>
      <c r="D94" s="268"/>
      <c r="E94" s="262"/>
      <c r="F94" s="97"/>
      <c r="G94" s="97"/>
      <c r="H94" s="7"/>
      <c r="I94" s="7"/>
      <c r="J94" s="7"/>
      <c r="K94" s="7"/>
    </row>
    <row r="95" spans="1:11">
      <c r="A95" s="263" t="s">
        <v>248</v>
      </c>
      <c r="B95" s="105"/>
      <c r="C95" s="105"/>
      <c r="D95" s="322">
        <f>+D91*1.41</f>
        <v>3.8842909821204112</v>
      </c>
      <c r="E95" s="264" t="s">
        <v>27</v>
      </c>
      <c r="F95" s="97"/>
      <c r="G95" s="97"/>
      <c r="H95" s="7"/>
      <c r="I95" s="7"/>
      <c r="J95" s="7"/>
      <c r="K95" s="7"/>
    </row>
    <row r="96" spans="1:11" ht="13.5" thickBot="1">
      <c r="A96" s="337" t="s">
        <v>576</v>
      </c>
      <c r="B96" s="271"/>
      <c r="C96" s="271"/>
      <c r="D96" s="323">
        <f>+D92*1.41</f>
        <v>3.3503865900708951</v>
      </c>
      <c r="E96" s="266" t="s">
        <v>27</v>
      </c>
      <c r="F96" s="97"/>
      <c r="G96" s="97"/>
      <c r="H96" s="7"/>
      <c r="I96" s="7"/>
      <c r="J96" s="7"/>
      <c r="K96" s="7"/>
    </row>
    <row r="97" spans="1:11">
      <c r="A97" s="97"/>
      <c r="B97" s="97"/>
      <c r="C97" s="97"/>
      <c r="D97" s="99"/>
      <c r="E97" s="97"/>
      <c r="F97" s="97"/>
      <c r="G97" s="97"/>
      <c r="H97" s="7"/>
      <c r="I97" s="7"/>
      <c r="J97" s="7"/>
      <c r="K97" s="7"/>
    </row>
    <row r="98" spans="1:11">
      <c r="A98" s="286"/>
      <c r="B98" s="97"/>
      <c r="C98" s="97"/>
      <c r="D98" s="99"/>
      <c r="E98" s="97"/>
      <c r="F98" s="97"/>
      <c r="G98" s="97"/>
      <c r="H98" s="7"/>
      <c r="I98" s="7"/>
      <c r="J98" s="7"/>
      <c r="K98" s="7"/>
    </row>
    <row r="99" spans="1:11">
      <c r="A99" s="286" t="s">
        <v>665</v>
      </c>
      <c r="B99" s="97"/>
      <c r="C99" s="97"/>
      <c r="D99" s="99"/>
      <c r="E99" s="97"/>
      <c r="F99" s="97"/>
      <c r="G99" s="97"/>
      <c r="H99" s="7"/>
      <c r="I99" s="7"/>
      <c r="J99" s="7"/>
      <c r="K99" s="7"/>
    </row>
    <row r="100" spans="1:11">
      <c r="A100" s="286" t="s">
        <v>666</v>
      </c>
      <c r="B100" s="97"/>
      <c r="C100" s="97"/>
      <c r="D100" s="99"/>
      <c r="E100" s="97"/>
      <c r="F100" s="97"/>
      <c r="G100" s="97"/>
      <c r="H100" s="7"/>
      <c r="I100" s="7"/>
      <c r="J100" s="7"/>
      <c r="K100" s="7"/>
    </row>
    <row r="101" spans="1:11" ht="13.5" thickBot="1">
      <c r="A101" s="97"/>
      <c r="B101" s="97"/>
      <c r="C101" s="97"/>
      <c r="D101" s="99"/>
      <c r="E101" s="97"/>
      <c r="F101" s="97"/>
      <c r="G101" s="97"/>
      <c r="H101" s="7"/>
      <c r="I101" s="7"/>
      <c r="J101" s="7"/>
      <c r="K101" s="7"/>
    </row>
    <row r="102" spans="1:11">
      <c r="A102" s="267" t="s">
        <v>502</v>
      </c>
      <c r="B102" s="261"/>
      <c r="C102" s="261"/>
      <c r="D102" s="268"/>
      <c r="E102" s="262"/>
      <c r="F102" s="97"/>
      <c r="G102" s="97"/>
      <c r="H102" s="7"/>
      <c r="I102" s="7"/>
      <c r="J102" s="7"/>
      <c r="K102" s="7"/>
    </row>
    <row r="103" spans="1:11">
      <c r="A103" s="263" t="s">
        <v>248</v>
      </c>
      <c r="B103" s="105"/>
      <c r="C103" s="105"/>
      <c r="D103" s="322">
        <f>+D95*2</f>
        <v>7.7685819642408225</v>
      </c>
      <c r="E103" s="264" t="s">
        <v>27</v>
      </c>
      <c r="F103" s="97"/>
      <c r="G103" s="97"/>
      <c r="H103" s="7"/>
      <c r="I103" s="7"/>
      <c r="J103" s="7"/>
      <c r="K103" s="7"/>
    </row>
    <row r="104" spans="1:11" ht="13.5" thickBot="1">
      <c r="A104" s="337" t="s">
        <v>576</v>
      </c>
      <c r="B104" s="271"/>
      <c r="C104" s="271"/>
      <c r="D104" s="323">
        <f>+D96*2</f>
        <v>6.7007731801417902</v>
      </c>
      <c r="E104" s="266" t="s">
        <v>27</v>
      </c>
      <c r="F104" s="97"/>
      <c r="G104" s="97"/>
      <c r="H104" s="7"/>
      <c r="I104" s="7"/>
      <c r="J104" s="7"/>
      <c r="K104" s="7"/>
    </row>
    <row r="105" spans="1:11">
      <c r="A105" s="97"/>
      <c r="B105" s="97"/>
      <c r="C105" s="97"/>
      <c r="D105" s="97"/>
      <c r="E105" s="97"/>
      <c r="F105" s="97"/>
      <c r="G105" s="97"/>
      <c r="H105" s="7"/>
      <c r="I105" s="7"/>
      <c r="J105" s="7"/>
      <c r="K105" s="7"/>
    </row>
    <row r="106" spans="1:11">
      <c r="A106" s="97" t="s">
        <v>323</v>
      </c>
      <c r="B106" s="97"/>
      <c r="C106" s="97"/>
      <c r="D106" s="97"/>
      <c r="E106" s="97"/>
      <c r="F106" s="97"/>
      <c r="G106" s="97"/>
      <c r="H106" s="7"/>
      <c r="I106" s="7"/>
      <c r="J106" s="7"/>
      <c r="K106" s="7"/>
    </row>
    <row r="107" spans="1:11">
      <c r="A107" s="97" t="s">
        <v>324</v>
      </c>
      <c r="B107" s="97"/>
      <c r="C107" s="97"/>
      <c r="D107" s="97"/>
      <c r="E107" s="97"/>
      <c r="F107" s="97"/>
      <c r="G107" s="97"/>
      <c r="H107" s="7"/>
      <c r="I107" s="7"/>
      <c r="J107" s="7"/>
      <c r="K107" s="7"/>
    </row>
    <row r="108" spans="1:11">
      <c r="A108" s="97"/>
      <c r="B108" s="97"/>
      <c r="C108" s="97"/>
      <c r="D108" s="97"/>
      <c r="E108" s="97"/>
      <c r="F108" s="97"/>
      <c r="G108" s="97"/>
      <c r="H108" s="7"/>
      <c r="I108" s="7"/>
      <c r="J108" s="7"/>
      <c r="K108" s="7"/>
    </row>
    <row r="109" spans="1:11">
      <c r="A109" s="97" t="s">
        <v>249</v>
      </c>
      <c r="B109" s="97"/>
      <c r="C109" s="97"/>
      <c r="D109" s="97"/>
      <c r="E109" s="97"/>
      <c r="F109" s="97"/>
      <c r="G109" s="97"/>
      <c r="H109" s="7"/>
      <c r="I109" s="7"/>
      <c r="J109" s="7"/>
      <c r="K109" s="7"/>
    </row>
    <row r="110" spans="1:11">
      <c r="A110" s="97"/>
      <c r="B110" s="97"/>
      <c r="C110" s="97"/>
      <c r="D110" s="97"/>
      <c r="E110" s="97"/>
      <c r="F110" s="97"/>
      <c r="G110" s="97"/>
      <c r="H110" s="7"/>
      <c r="I110" s="7"/>
      <c r="J110" s="7"/>
      <c r="K110" s="7"/>
    </row>
    <row r="111" spans="1:11">
      <c r="A111" s="97" t="s">
        <v>250</v>
      </c>
      <c r="B111" s="97"/>
      <c r="C111" s="97"/>
      <c r="D111" s="97"/>
      <c r="E111" s="97"/>
      <c r="F111" s="97"/>
      <c r="G111" s="97"/>
      <c r="H111" s="7"/>
      <c r="I111" s="7"/>
      <c r="J111" s="7"/>
      <c r="K111" s="7"/>
    </row>
    <row r="112" spans="1:11">
      <c r="A112" s="97"/>
      <c r="B112" s="97"/>
      <c r="C112" s="97"/>
      <c r="D112" s="97"/>
      <c r="E112" s="97"/>
      <c r="F112" s="97"/>
      <c r="G112" s="97"/>
      <c r="H112" s="7"/>
      <c r="I112" s="7"/>
      <c r="J112" s="7"/>
      <c r="K112" s="7"/>
    </row>
    <row r="113" spans="1:11">
      <c r="A113" s="97" t="s">
        <v>251</v>
      </c>
      <c r="B113" s="97"/>
      <c r="C113" s="97">
        <v>1</v>
      </c>
      <c r="D113" s="97"/>
      <c r="E113" s="97"/>
      <c r="F113" s="97"/>
      <c r="G113" s="97"/>
      <c r="H113" s="7"/>
      <c r="I113" s="7"/>
      <c r="J113" s="7"/>
      <c r="K113" s="7"/>
    </row>
    <row r="114" spans="1:11">
      <c r="A114" s="97" t="s">
        <v>252</v>
      </c>
      <c r="B114" s="97"/>
      <c r="C114" s="97">
        <v>0.8</v>
      </c>
      <c r="D114" s="97"/>
      <c r="E114" s="97"/>
      <c r="F114" s="97"/>
      <c r="G114" s="97"/>
      <c r="H114" s="7"/>
      <c r="I114" s="7"/>
      <c r="J114" s="7"/>
      <c r="K114" s="7"/>
    </row>
    <row r="115" spans="1:11">
      <c r="A115" s="97" t="s">
        <v>253</v>
      </c>
      <c r="B115" s="97"/>
      <c r="C115" s="97">
        <v>0.6</v>
      </c>
      <c r="D115" s="97"/>
      <c r="E115" s="97"/>
      <c r="F115" s="97"/>
      <c r="G115" s="97"/>
      <c r="H115" s="7"/>
      <c r="I115" s="7"/>
      <c r="J115" s="7"/>
      <c r="K115" s="7"/>
    </row>
    <row r="116" spans="1:11">
      <c r="A116" s="97"/>
      <c r="B116" s="97"/>
      <c r="C116" s="97"/>
      <c r="D116" s="97"/>
      <c r="E116" s="97"/>
      <c r="F116" s="97"/>
      <c r="G116" s="97"/>
      <c r="H116" s="7"/>
      <c r="I116" s="7"/>
      <c r="J116" s="7"/>
      <c r="K116" s="7"/>
    </row>
    <row r="117" spans="1:11">
      <c r="A117" s="286" t="s">
        <v>507</v>
      </c>
      <c r="B117" s="97"/>
      <c r="C117" s="97"/>
      <c r="D117" s="97"/>
      <c r="E117" s="97"/>
      <c r="F117" s="97"/>
      <c r="G117" s="127" t="s">
        <v>2</v>
      </c>
      <c r="H117" s="127"/>
      <c r="I117" s="7"/>
      <c r="J117" s="7"/>
      <c r="K117" s="7"/>
    </row>
    <row r="118" spans="1:11" ht="13.5" thickBot="1">
      <c r="A118" s="286"/>
      <c r="B118" s="97"/>
      <c r="C118" s="97"/>
      <c r="D118" s="97"/>
      <c r="E118" s="97"/>
      <c r="F118" s="97"/>
      <c r="G118" s="127"/>
      <c r="H118" s="127"/>
      <c r="I118" s="7"/>
      <c r="J118" s="7"/>
      <c r="K118" s="7"/>
    </row>
    <row r="119" spans="1:11">
      <c r="A119" s="286"/>
      <c r="B119" s="97"/>
      <c r="C119" s="267" t="s">
        <v>504</v>
      </c>
      <c r="D119" s="262"/>
      <c r="E119" s="267" t="s">
        <v>505</v>
      </c>
      <c r="F119" s="290"/>
      <c r="G119" s="291" t="s">
        <v>506</v>
      </c>
      <c r="H119" s="28"/>
      <c r="I119" s="127"/>
      <c r="J119" s="7"/>
      <c r="K119" s="7"/>
    </row>
    <row r="120" spans="1:11" ht="13.5" thickBot="1">
      <c r="A120" s="286"/>
      <c r="B120" s="97"/>
      <c r="C120" s="292" t="s">
        <v>108</v>
      </c>
      <c r="D120" s="293" t="s">
        <v>503</v>
      </c>
      <c r="E120" s="292" t="s">
        <v>108</v>
      </c>
      <c r="F120" s="293" t="s">
        <v>503</v>
      </c>
      <c r="G120" s="292" t="s">
        <v>108</v>
      </c>
      <c r="H120" s="293" t="s">
        <v>503</v>
      </c>
      <c r="I120" s="127"/>
      <c r="J120" s="7"/>
      <c r="K120" s="7"/>
    </row>
    <row r="121" spans="1:11" ht="13.5" thickBot="1">
      <c r="A121" s="96"/>
      <c r="B121" s="294" t="s">
        <v>321</v>
      </c>
      <c r="C121" s="295">
        <f>+D95</f>
        <v>3.8842909821204112</v>
      </c>
      <c r="D121" s="296">
        <f>+D95/superficies!D18</f>
        <v>3.5594877270290141E-2</v>
      </c>
      <c r="E121" s="297">
        <f>+D103</f>
        <v>7.7685819642408225</v>
      </c>
      <c r="F121" s="296">
        <f>+D103/superficies!D18</f>
        <v>7.1189754540580283E-2</v>
      </c>
      <c r="G121" s="295">
        <f>+E121+C121</f>
        <v>11.652872946361233</v>
      </c>
      <c r="H121" s="298">
        <f>+F121+D121</f>
        <v>0.10678463181087042</v>
      </c>
      <c r="I121" s="7"/>
      <c r="J121" s="7"/>
      <c r="K121" s="7"/>
    </row>
    <row r="122" spans="1:11" ht="13.5" thickBot="1">
      <c r="A122" s="97"/>
      <c r="B122" s="299" t="s">
        <v>322</v>
      </c>
      <c r="C122" s="300">
        <f>+D96</f>
        <v>3.3503865900708951</v>
      </c>
      <c r="D122" s="301">
        <f>+D96/superficies!D18</f>
        <v>3.0702282612333522E-2</v>
      </c>
      <c r="E122" s="302">
        <f>+D104</f>
        <v>6.7007731801417902</v>
      </c>
      <c r="F122" s="301">
        <f>+D104/superficies!D18</f>
        <v>6.1404565224667043E-2</v>
      </c>
      <c r="G122" s="295">
        <f>+E122+C122</f>
        <v>10.051159770212685</v>
      </c>
      <c r="H122" s="303">
        <f>+F122+D122</f>
        <v>9.2106847837000572E-2</v>
      </c>
      <c r="I122" s="7"/>
      <c r="J122" s="7"/>
      <c r="K122" s="7"/>
    </row>
    <row r="123" spans="1:11">
      <c r="A123" s="97"/>
      <c r="B123" s="286" t="s">
        <v>509</v>
      </c>
      <c r="C123" s="97"/>
      <c r="D123" s="97"/>
      <c r="E123" s="97"/>
      <c r="F123" s="97"/>
      <c r="G123" s="7"/>
      <c r="H123" s="7"/>
      <c r="I123" s="7"/>
      <c r="J123" s="7"/>
      <c r="K123" s="7"/>
    </row>
    <row r="124" spans="1:11">
      <c r="A124" s="97"/>
      <c r="B124" s="286" t="s">
        <v>510</v>
      </c>
      <c r="C124" s="97"/>
      <c r="D124" s="97"/>
      <c r="E124" s="97"/>
      <c r="F124" s="97"/>
      <c r="G124" s="97"/>
      <c r="H124" s="7"/>
      <c r="I124" s="7"/>
      <c r="J124" s="7"/>
      <c r="K124" s="7"/>
    </row>
    <row r="125" spans="1:11">
      <c r="A125" s="97"/>
      <c r="B125" s="286"/>
      <c r="C125" s="97"/>
      <c r="D125" s="97"/>
      <c r="E125" s="97"/>
      <c r="F125" s="97"/>
      <c r="G125" s="97"/>
      <c r="H125" s="7"/>
      <c r="I125" s="7"/>
      <c r="J125" s="7"/>
      <c r="K125" s="7"/>
    </row>
    <row r="126" spans="1:11">
      <c r="A126" s="97" t="s">
        <v>254</v>
      </c>
      <c r="B126" s="97"/>
      <c r="C126" s="97"/>
      <c r="D126" s="97"/>
      <c r="E126" s="97"/>
      <c r="F126" s="97"/>
      <c r="G126" s="97"/>
      <c r="H126" s="7"/>
      <c r="I126" s="7"/>
      <c r="J126" s="7"/>
      <c r="K126" s="7"/>
    </row>
    <row r="127" spans="1:11">
      <c r="A127" s="97" t="s">
        <v>255</v>
      </c>
      <c r="B127" s="97"/>
      <c r="C127" s="97"/>
      <c r="D127" s="97"/>
      <c r="E127" s="97"/>
      <c r="F127" s="97"/>
      <c r="G127" s="97"/>
      <c r="H127" s="7"/>
      <c r="I127" s="7"/>
      <c r="J127" s="7"/>
      <c r="K127" s="7"/>
    </row>
    <row r="128" spans="1:11" ht="13.5" thickBot="1">
      <c r="A128" s="7"/>
      <c r="B128" s="7"/>
      <c r="C128" s="7"/>
      <c r="D128" s="7"/>
      <c r="E128" s="7"/>
      <c r="F128" s="97"/>
      <c r="G128" s="97"/>
      <c r="H128" s="7"/>
      <c r="I128" s="7"/>
      <c r="J128" s="7"/>
      <c r="K128" s="7"/>
    </row>
    <row r="129" spans="1:11">
      <c r="A129" s="424" t="s">
        <v>618</v>
      </c>
      <c r="B129" s="425"/>
      <c r="C129" s="425"/>
      <c r="D129" s="425"/>
      <c r="E129" s="425"/>
      <c r="F129" s="426"/>
      <c r="G129" s="426"/>
      <c r="H129" s="425"/>
      <c r="I129" s="425"/>
      <c r="J129" s="425"/>
      <c r="K129" s="430"/>
    </row>
    <row r="130" spans="1:11" ht="13.5" thickBot="1">
      <c r="A130" s="427" t="s">
        <v>619</v>
      </c>
      <c r="B130" s="428"/>
      <c r="C130" s="429"/>
      <c r="D130" s="429"/>
      <c r="E130" s="429"/>
      <c r="F130" s="429"/>
      <c r="G130" s="429"/>
      <c r="H130" s="429"/>
      <c r="I130" s="429"/>
      <c r="J130" s="429"/>
      <c r="K130" s="43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X51"/>
  <sheetViews>
    <sheetView workbookViewId="0">
      <selection activeCell="K12" sqref="K12"/>
    </sheetView>
  </sheetViews>
  <sheetFormatPr baseColWidth="10" defaultRowHeight="12.75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  <col min="11" max="11" width="14.85546875" customWidth="1"/>
  </cols>
  <sheetData>
    <row r="1" spans="1:24">
      <c r="A1" s="589"/>
      <c r="B1" s="377" t="s">
        <v>579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</row>
    <row r="2" spans="1:24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</row>
    <row r="3" spans="1:24">
      <c r="A3" s="589"/>
      <c r="B3" s="379" t="s">
        <v>561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</row>
    <row r="4" spans="1:24">
      <c r="A4" s="589"/>
      <c r="B4" s="379" t="s">
        <v>562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</row>
    <row r="5" spans="1:24" ht="13.5" thickBot="1">
      <c r="A5" s="589"/>
      <c r="B5" s="37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</row>
    <row r="6" spans="1:24" ht="13.5" thickBot="1">
      <c r="A6" s="589"/>
      <c r="B6" s="659" t="s">
        <v>316</v>
      </c>
      <c r="C6" s="660"/>
      <c r="D6" s="660"/>
      <c r="E6" s="660"/>
      <c r="F6" s="660"/>
      <c r="G6" s="660"/>
      <c r="H6" s="660"/>
      <c r="I6" s="660"/>
      <c r="J6" s="660"/>
      <c r="K6" s="661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</row>
    <row r="7" spans="1:24" ht="13.5" thickBot="1">
      <c r="A7" s="589"/>
      <c r="B7" s="614"/>
      <c r="C7" s="615" t="s">
        <v>2</v>
      </c>
      <c r="D7" s="611" t="s">
        <v>308</v>
      </c>
      <c r="E7" s="607" t="s">
        <v>309</v>
      </c>
      <c r="F7" s="607" t="s">
        <v>310</v>
      </c>
      <c r="G7" s="607" t="s">
        <v>311</v>
      </c>
      <c r="H7" s="607" t="s">
        <v>314</v>
      </c>
      <c r="I7" s="616" t="s">
        <v>312</v>
      </c>
      <c r="J7" s="617" t="s">
        <v>716</v>
      </c>
      <c r="K7" s="617" t="s">
        <v>713</v>
      </c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</row>
    <row r="8" spans="1:24" ht="12.75" hidden="1" customHeight="1">
      <c r="A8" s="589"/>
      <c r="B8" s="368" t="s">
        <v>313</v>
      </c>
      <c r="C8" s="369" t="s">
        <v>546</v>
      </c>
      <c r="D8" s="370"/>
      <c r="E8" s="371"/>
      <c r="F8" s="371"/>
      <c r="G8" s="371"/>
      <c r="H8" s="371"/>
      <c r="I8" s="372"/>
      <c r="J8" s="612"/>
      <c r="K8" s="613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</row>
    <row r="9" spans="1:24" ht="12.75" hidden="1" customHeight="1">
      <c r="A9" s="589"/>
      <c r="B9" s="373" t="s">
        <v>315</v>
      </c>
      <c r="C9" s="369"/>
      <c r="D9" s="374">
        <v>58.968000000000004</v>
      </c>
      <c r="E9" s="375">
        <v>47.061</v>
      </c>
      <c r="F9" s="375">
        <v>34.587000000000003</v>
      </c>
      <c r="G9" s="375">
        <v>14.742000000000001</v>
      </c>
      <c r="H9" s="375">
        <v>20.411999999999999</v>
      </c>
      <c r="I9" s="376">
        <v>31.184999999999999</v>
      </c>
      <c r="J9" s="609">
        <v>31.184999999999999</v>
      </c>
      <c r="K9" s="608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</row>
    <row r="10" spans="1:24">
      <c r="A10" s="589"/>
      <c r="B10" s="401" t="s">
        <v>563</v>
      </c>
      <c r="C10" s="402"/>
      <c r="D10" s="403"/>
      <c r="E10" s="404"/>
      <c r="F10" s="404"/>
      <c r="G10" s="404"/>
      <c r="H10" s="404"/>
      <c r="I10" s="405"/>
      <c r="J10" s="405"/>
      <c r="K10" s="405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</row>
    <row r="11" spans="1:24">
      <c r="A11" s="589"/>
      <c r="B11" s="406" t="s">
        <v>315</v>
      </c>
      <c r="C11" s="407" t="s">
        <v>2</v>
      </c>
      <c r="D11" s="408">
        <v>23.247</v>
      </c>
      <c r="E11" s="409">
        <v>22.113</v>
      </c>
      <c r="F11" s="409">
        <v>19.844999999999999</v>
      </c>
      <c r="G11" s="409">
        <v>4.3</v>
      </c>
      <c r="H11" s="409">
        <v>14.742000000000001</v>
      </c>
      <c r="I11" s="410">
        <v>18.710999999999999</v>
      </c>
      <c r="J11" s="410">
        <v>11.8</v>
      </c>
      <c r="K11" s="410">
        <v>9</v>
      </c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</row>
    <row r="12" spans="1:24" ht="13.5" thickBot="1">
      <c r="A12" s="589"/>
      <c r="B12" s="411" t="s">
        <v>717</v>
      </c>
      <c r="C12" s="412"/>
      <c r="D12" s="413">
        <v>0.1</v>
      </c>
      <c r="E12" s="413">
        <v>0.1</v>
      </c>
      <c r="F12" s="413">
        <v>0.1</v>
      </c>
      <c r="G12" s="610">
        <v>2.5000000000000001E-2</v>
      </c>
      <c r="H12" s="414">
        <v>0.1016</v>
      </c>
      <c r="I12" s="415">
        <v>0.1</v>
      </c>
      <c r="J12" s="415">
        <v>0.03</v>
      </c>
      <c r="K12" s="415">
        <v>1.4999999999999999E-2</v>
      </c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</row>
    <row r="13" spans="1:24">
      <c r="A13" s="589"/>
      <c r="B13" s="380" t="s">
        <v>564</v>
      </c>
      <c r="C13" s="589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</row>
    <row r="14" spans="1:24">
      <c r="A14" s="589"/>
      <c r="B14" s="589"/>
      <c r="C14" s="589"/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</row>
    <row r="15" spans="1:24">
      <c r="A15" s="589"/>
      <c r="B15" s="379" t="s">
        <v>559</v>
      </c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</row>
    <row r="16" spans="1:24">
      <c r="A16" s="589"/>
      <c r="B16" s="379" t="s">
        <v>565</v>
      </c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</row>
    <row r="17" spans="1:24">
      <c r="A17" s="589"/>
      <c r="B17" s="379" t="s">
        <v>566</v>
      </c>
      <c r="C17" s="589"/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</row>
    <row r="18" spans="1:24">
      <c r="A18" s="589"/>
      <c r="B18" s="379" t="s">
        <v>567</v>
      </c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</row>
    <row r="19" spans="1:24" ht="13.5" thickBot="1">
      <c r="A19" s="589"/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</row>
    <row r="20" spans="1:24" ht="13.5" thickBot="1">
      <c r="A20" s="589"/>
      <c r="B20" s="379"/>
      <c r="C20" s="396"/>
      <c r="D20" s="397"/>
      <c r="E20" s="398"/>
      <c r="F20" s="399" t="s">
        <v>560</v>
      </c>
      <c r="G20" s="400" t="s">
        <v>140</v>
      </c>
      <c r="H20" s="597" t="s">
        <v>541</v>
      </c>
      <c r="I20" s="598" t="s">
        <v>28</v>
      </c>
      <c r="J20" s="597" t="s">
        <v>714</v>
      </c>
      <c r="K20" s="598" t="s">
        <v>715</v>
      </c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</row>
    <row r="21" spans="1:24">
      <c r="A21" s="589"/>
      <c r="B21" s="589"/>
      <c r="C21" s="416" t="s">
        <v>427</v>
      </c>
      <c r="D21" s="417"/>
      <c r="E21" s="418"/>
      <c r="F21" s="394"/>
      <c r="G21" s="593">
        <f>+superficies!H19</f>
        <v>224.76899999999995</v>
      </c>
      <c r="H21" s="594"/>
      <c r="I21" s="593">
        <f>+superficies!D23</f>
        <v>109.12499999999999</v>
      </c>
      <c r="J21" s="621" t="s">
        <v>2</v>
      </c>
      <c r="K21" s="593">
        <v>148.86000000000001</v>
      </c>
      <c r="L21" s="589" t="s">
        <v>27</v>
      </c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</row>
    <row r="22" spans="1:24" ht="13.5" thickBot="1">
      <c r="A22" s="589"/>
      <c r="B22" s="589"/>
      <c r="C22" s="419" t="s">
        <v>426</v>
      </c>
      <c r="D22" s="420"/>
      <c r="E22" s="421"/>
      <c r="F22" s="395" t="s">
        <v>304</v>
      </c>
      <c r="G22" s="367">
        <v>22.1</v>
      </c>
      <c r="H22" s="595" t="s">
        <v>582</v>
      </c>
      <c r="I22" s="596">
        <f>+D11</f>
        <v>23.247</v>
      </c>
      <c r="J22" s="595" t="s">
        <v>716</v>
      </c>
      <c r="K22" s="596">
        <v>11.8</v>
      </c>
      <c r="L22" s="589" t="s">
        <v>307</v>
      </c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</row>
    <row r="23" spans="1:24" ht="13.5" thickBo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</row>
    <row r="24" spans="1:24">
      <c r="A24" s="589"/>
      <c r="B24" s="379" t="s">
        <v>568</v>
      </c>
      <c r="C24" s="589"/>
      <c r="D24" s="589"/>
      <c r="E24" s="589"/>
      <c r="F24" s="381" t="s">
        <v>285</v>
      </c>
      <c r="G24" s="383" t="s">
        <v>547</v>
      </c>
      <c r="H24" s="383" t="s">
        <v>286</v>
      </c>
      <c r="I24" s="384" t="s">
        <v>589</v>
      </c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</row>
    <row r="25" spans="1:24" ht="13.5" thickBot="1">
      <c r="A25" s="589"/>
      <c r="B25" s="379" t="s">
        <v>569</v>
      </c>
      <c r="C25" s="589"/>
      <c r="D25" s="589"/>
      <c r="E25" s="589"/>
      <c r="F25" s="382"/>
      <c r="G25" s="385" t="s">
        <v>287</v>
      </c>
      <c r="H25" s="385" t="s">
        <v>223</v>
      </c>
      <c r="I25" s="422">
        <v>23.7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</row>
    <row r="26" spans="1:24">
      <c r="A26" s="589"/>
      <c r="B26" s="379" t="s">
        <v>570</v>
      </c>
      <c r="C26" s="589"/>
      <c r="D26" s="589"/>
      <c r="E26" s="589"/>
      <c r="F26" s="386">
        <v>0</v>
      </c>
      <c r="G26" s="387">
        <f>+'Balance enfriamiento'!AA12</f>
        <v>22.363100000000003</v>
      </c>
      <c r="H26" s="387">
        <f>+'Balance enfriamiento'!AF256</f>
        <v>-3189.3364561899994</v>
      </c>
      <c r="I26" s="592">
        <f>IF(AND(H26&lt;0,(+H26/(($G$22*$G$21)+($I$21*$I$22)+($K$21*$K$22))+I25)&lt;G26),G26,(+H26/(($G$22*$G$21)+($I$21*$I$22)+($K$21*$K$22))+I25))</f>
        <v>23.355607919763251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</row>
    <row r="27" spans="1:24">
      <c r="A27" s="589"/>
      <c r="B27" s="379" t="s">
        <v>571</v>
      </c>
      <c r="C27" s="378"/>
      <c r="D27" s="378"/>
      <c r="E27" s="378"/>
      <c r="F27" s="388">
        <v>2</v>
      </c>
      <c r="G27" s="389">
        <f>+'Balance enfriamiento'!AA13</f>
        <v>21.030950000000001</v>
      </c>
      <c r="H27" s="389">
        <f>+'Balance enfriamiento'!AF257</f>
        <v>-5652.550530259372</v>
      </c>
      <c r="I27" s="590">
        <f t="shared" ref="I27:I37" si="0">IF(AND(H27&lt;0,(+H27/(($G$22*$G$21)+($I$21*$I$22)+($K$21*$K$22))+I26)&lt;G27),G27,(+H27/(($G$22*$G$21)+($I$21*$I$22)+($K$21*$K$22))+I26))</f>
        <v>22.74523216841186</v>
      </c>
      <c r="J27" s="378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</row>
    <row r="28" spans="1:24">
      <c r="A28" s="589"/>
      <c r="B28" s="379" t="s">
        <v>572</v>
      </c>
      <c r="C28" s="378"/>
      <c r="D28" s="378"/>
      <c r="E28" s="378"/>
      <c r="F28" s="388">
        <v>4</v>
      </c>
      <c r="G28" s="389">
        <f>+'Balance enfriamiento'!AA14</f>
        <v>19.698800000000002</v>
      </c>
      <c r="H28" s="389">
        <f>+'Balance enfriamiento'!AF258</f>
        <v>-8101.4633043287358</v>
      </c>
      <c r="I28" s="590">
        <f t="shared" si="0"/>
        <v>21.870417034083736</v>
      </c>
      <c r="J28" s="378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</row>
    <row r="29" spans="1:24">
      <c r="A29" s="589"/>
      <c r="B29" s="379" t="s">
        <v>573</v>
      </c>
      <c r="C29" s="378"/>
      <c r="D29" s="378"/>
      <c r="E29" s="378"/>
      <c r="F29" s="388">
        <v>6</v>
      </c>
      <c r="G29" s="389">
        <f>+'Balance enfriamiento'!AA15</f>
        <v>18.8</v>
      </c>
      <c r="H29" s="389">
        <f>+'Balance enfriamiento'!AF259</f>
        <v>-8740.5125447899991</v>
      </c>
      <c r="I29" s="590">
        <f t="shared" si="0"/>
        <v>20.926595854040674</v>
      </c>
      <c r="J29" s="378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</row>
    <row r="30" spans="1:24">
      <c r="A30" s="589"/>
      <c r="B30" s="378"/>
      <c r="C30" s="378"/>
      <c r="D30" s="378"/>
      <c r="E30" s="378"/>
      <c r="F30" s="388">
        <v>8</v>
      </c>
      <c r="G30" s="389">
        <f>+'Balance enfriamiento'!AA16</f>
        <v>20.58155</v>
      </c>
      <c r="H30" s="389">
        <f>+'Balance enfriamiento'!AF260</f>
        <v>-4736.5946252900021</v>
      </c>
      <c r="I30" s="590">
        <f t="shared" si="0"/>
        <v>20.58155</v>
      </c>
      <c r="J30" s="378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</row>
    <row r="31" spans="1:24">
      <c r="A31" s="589"/>
      <c r="B31" s="378"/>
      <c r="C31" s="378"/>
      <c r="D31" s="378"/>
      <c r="E31" s="378"/>
      <c r="F31" s="388">
        <v>10</v>
      </c>
      <c r="G31" s="389">
        <f>+'Balance enfriamiento'!AA17</f>
        <v>28.157150000000001</v>
      </c>
      <c r="H31" s="389">
        <f>+'Balance enfriamiento'!AF261</f>
        <v>3488.3072509266822</v>
      </c>
      <c r="I31" s="590">
        <f t="shared" si="0"/>
        <v>20.958225652491898</v>
      </c>
      <c r="J31" s="378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</row>
    <row r="32" spans="1:24">
      <c r="A32" s="589"/>
      <c r="B32" s="378"/>
      <c r="C32" s="378"/>
      <c r="D32" s="378"/>
      <c r="E32" s="378"/>
      <c r="F32" s="388">
        <v>12</v>
      </c>
      <c r="G32" s="389">
        <f>+'Balance enfriamiento'!AA18</f>
        <v>32.619050000000001</v>
      </c>
      <c r="H32" s="389">
        <f>+'Balance enfriamiento'!AF262</f>
        <v>6553.7785658872272</v>
      </c>
      <c r="I32" s="590">
        <f t="shared" si="0"/>
        <v>21.66591813483765</v>
      </c>
      <c r="J32" s="378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</row>
    <row r="33" spans="1:24">
      <c r="A33" s="589"/>
      <c r="B33" s="378"/>
      <c r="C33" s="378"/>
      <c r="D33" s="378"/>
      <c r="E33" s="378"/>
      <c r="F33" s="388">
        <v>14</v>
      </c>
      <c r="G33" s="389">
        <f>+'Balance enfriamiento'!AA19</f>
        <v>34.85</v>
      </c>
      <c r="H33" s="389">
        <f>+'Balance enfriamiento'!AF263</f>
        <v>5036.1687249674997</v>
      </c>
      <c r="I33" s="590">
        <f t="shared" si="0"/>
        <v>22.209735523639189</v>
      </c>
      <c r="J33" s="378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</row>
    <row r="34" spans="1:24">
      <c r="A34" s="589"/>
      <c r="B34" s="378"/>
      <c r="C34" s="378"/>
      <c r="D34" s="378"/>
      <c r="E34" s="378"/>
      <c r="F34" s="388">
        <v>16</v>
      </c>
      <c r="G34" s="389">
        <f>+'Balance enfriamiento'!AA20</f>
        <v>33.517850000000003</v>
      </c>
      <c r="H34" s="389">
        <f>+'Balance enfriamiento'!AF264</f>
        <v>4237.1932843195682</v>
      </c>
      <c r="I34" s="590">
        <f t="shared" si="0"/>
        <v>22.667277658060222</v>
      </c>
      <c r="J34" s="378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</row>
    <row r="35" spans="1:24">
      <c r="A35" s="589"/>
      <c r="B35" s="378"/>
      <c r="C35" s="378"/>
      <c r="D35" s="378"/>
      <c r="E35" s="378"/>
      <c r="F35" s="388">
        <v>18</v>
      </c>
      <c r="G35" s="389">
        <f>+'Balance enfriamiento'!AA21</f>
        <v>29.938700000000001</v>
      </c>
      <c r="H35" s="389">
        <f>+'Balance enfriamiento'!AF265</f>
        <v>4021.6900523907843</v>
      </c>
      <c r="I35" s="590">
        <f t="shared" si="0"/>
        <v>23.101549244716484</v>
      </c>
      <c r="J35" s="378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</row>
    <row r="36" spans="1:24">
      <c r="A36" s="589"/>
      <c r="B36" s="378"/>
      <c r="C36" s="378"/>
      <c r="D36" s="378"/>
      <c r="E36" s="378"/>
      <c r="F36" s="388">
        <v>20</v>
      </c>
      <c r="G36" s="389">
        <f>+'Balance enfriamiento'!AA22</f>
        <v>25.926200000000001</v>
      </c>
      <c r="H36" s="389">
        <f>+'Balance enfriamiento'!AF266</f>
        <v>3531.91471904641</v>
      </c>
      <c r="I36" s="590">
        <f t="shared" si="0"/>
        <v>23.482933734568725</v>
      </c>
      <c r="J36" s="378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</row>
    <row r="37" spans="1:24" ht="13.5" thickBot="1">
      <c r="A37" s="589"/>
      <c r="B37" s="378"/>
      <c r="C37" s="378"/>
      <c r="D37" s="378"/>
      <c r="E37" s="378"/>
      <c r="F37" s="390">
        <v>22</v>
      </c>
      <c r="G37" s="391">
        <f>+'Balance enfriamiento'!AA23</f>
        <v>23.759450000000001</v>
      </c>
      <c r="H37" s="391">
        <f>+'Balance enfriamiento'!AF267</f>
        <v>4349.5704515694542</v>
      </c>
      <c r="I37" s="591">
        <f t="shared" si="0"/>
        <v>23.952610620820405</v>
      </c>
      <c r="J37" s="378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</row>
    <row r="38" spans="1:24">
      <c r="A38" s="589"/>
      <c r="B38" s="378"/>
      <c r="C38" s="392"/>
      <c r="D38" s="378"/>
      <c r="E38" s="378"/>
      <c r="F38" s="378" t="s">
        <v>2</v>
      </c>
      <c r="G38" s="378"/>
      <c r="H38" s="378"/>
      <c r="I38" s="378"/>
      <c r="J38" s="378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</row>
    <row r="39" spans="1:24">
      <c r="A39" s="589"/>
      <c r="B39" s="379" t="s">
        <v>590</v>
      </c>
      <c r="C39" s="378"/>
      <c r="D39" s="378"/>
      <c r="E39" s="378"/>
      <c r="F39" s="378"/>
      <c r="G39" s="378"/>
      <c r="H39" s="378"/>
      <c r="I39" s="378"/>
      <c r="J39" s="378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</row>
    <row r="40" spans="1:24">
      <c r="A40" s="589"/>
      <c r="B40" s="379" t="s">
        <v>591</v>
      </c>
      <c r="C40" s="378"/>
      <c r="D40" s="393"/>
      <c r="E40" s="378"/>
      <c r="F40" s="378"/>
      <c r="G40" s="378"/>
      <c r="H40" s="378"/>
      <c r="I40" s="378"/>
      <c r="J40" s="378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</row>
    <row r="41" spans="1:24">
      <c r="A41" s="589"/>
      <c r="B41" s="379" t="s">
        <v>592</v>
      </c>
      <c r="C41" s="378"/>
      <c r="D41" s="378"/>
      <c r="E41" s="378"/>
      <c r="F41" s="378"/>
      <c r="G41" s="378"/>
      <c r="H41" s="378"/>
      <c r="I41" s="378"/>
      <c r="J41" s="378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</row>
    <row r="42" spans="1:24">
      <c r="A42" s="589"/>
      <c r="B42" s="379" t="s">
        <v>593</v>
      </c>
      <c r="C42" s="378"/>
      <c r="D42" s="378"/>
      <c r="E42" s="378"/>
      <c r="F42" s="378"/>
      <c r="G42" s="378"/>
      <c r="H42" s="378"/>
      <c r="I42" s="378"/>
      <c r="J42" s="378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</row>
    <row r="43" spans="1:24">
      <c r="A43" s="589"/>
      <c r="B43" s="379" t="s">
        <v>594</v>
      </c>
      <c r="C43" s="378"/>
      <c r="D43" s="378"/>
      <c r="E43" s="378"/>
      <c r="F43" s="378"/>
      <c r="G43" s="378"/>
      <c r="H43" s="378"/>
      <c r="I43" s="378"/>
      <c r="J43" s="378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</row>
    <row r="44" spans="1:24">
      <c r="A44" s="589"/>
      <c r="B44" s="378"/>
      <c r="C44" s="378"/>
      <c r="D44" s="378"/>
      <c r="E44" s="378"/>
      <c r="F44" s="378"/>
      <c r="G44" s="378"/>
      <c r="H44" s="378"/>
      <c r="I44" s="378"/>
      <c r="J44" s="378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</row>
    <row r="45" spans="1:24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</row>
    <row r="46" spans="1:24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</row>
    <row r="47" spans="1:24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</row>
    <row r="48" spans="1:24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</row>
    <row r="49" spans="1:24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</row>
    <row r="50" spans="1:24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</row>
    <row r="51" spans="1:24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3"/>
  <sheetViews>
    <sheetView workbookViewId="0">
      <selection activeCell="G110" sqref="G110"/>
    </sheetView>
  </sheetViews>
  <sheetFormatPr baseColWidth="10" defaultRowHeight="12.75"/>
  <cols>
    <col min="4" max="4" width="12.42578125" customWidth="1"/>
    <col min="10" max="10" width="15.140625" customWidth="1"/>
    <col min="12" max="12" width="15.85546875" customWidth="1"/>
  </cols>
  <sheetData>
    <row r="1" spans="1:11">
      <c r="A1" s="96" t="s">
        <v>609</v>
      </c>
      <c r="B1" s="97"/>
      <c r="C1" s="97"/>
      <c r="D1" s="97"/>
      <c r="E1" s="97"/>
      <c r="F1" s="97"/>
      <c r="G1" s="97"/>
      <c r="H1" s="7"/>
      <c r="I1" s="7"/>
      <c r="J1" s="7"/>
      <c r="K1" s="7"/>
    </row>
    <row r="2" spans="1:11">
      <c r="A2" s="97" t="s">
        <v>575</v>
      </c>
      <c r="B2" s="97"/>
      <c r="C2" s="97"/>
      <c r="D2" s="97"/>
      <c r="E2" s="97"/>
      <c r="F2" s="97"/>
      <c r="G2" s="97"/>
      <c r="H2" s="7"/>
      <c r="I2" s="7"/>
      <c r="J2" s="7"/>
      <c r="K2" s="7"/>
    </row>
    <row r="3" spans="1:11">
      <c r="A3" s="97"/>
      <c r="B3" s="97"/>
      <c r="C3" s="97"/>
      <c r="D3" s="97"/>
      <c r="E3" s="97"/>
      <c r="F3" s="97"/>
      <c r="G3" s="97"/>
      <c r="H3" s="7"/>
      <c r="I3" s="7"/>
      <c r="J3" s="7"/>
      <c r="K3" s="7"/>
    </row>
    <row r="4" spans="1:11">
      <c r="A4" s="286" t="s">
        <v>610</v>
      </c>
      <c r="B4" s="97"/>
      <c r="C4" s="97"/>
      <c r="D4" s="97"/>
      <c r="E4" s="97"/>
      <c r="F4" s="97"/>
      <c r="G4" s="97"/>
      <c r="H4" s="7"/>
      <c r="I4" s="7"/>
      <c r="J4" s="7"/>
      <c r="K4" s="7"/>
    </row>
    <row r="5" spans="1:11">
      <c r="A5" s="286" t="s">
        <v>613</v>
      </c>
      <c r="B5" s="97"/>
      <c r="C5" s="97"/>
      <c r="D5" s="97"/>
      <c r="E5" s="97"/>
      <c r="F5" s="97"/>
      <c r="G5" s="97"/>
      <c r="H5" s="7"/>
      <c r="I5" s="7"/>
      <c r="J5" s="7"/>
      <c r="K5" s="7"/>
    </row>
    <row r="6" spans="1:11">
      <c r="A6" s="97" t="s">
        <v>611</v>
      </c>
      <c r="B6" s="97"/>
      <c r="C6" s="97"/>
      <c r="D6" s="97"/>
      <c r="E6" s="97"/>
      <c r="F6" s="97"/>
      <c r="G6" s="97"/>
      <c r="H6" s="7"/>
      <c r="I6" s="7"/>
      <c r="J6" s="7"/>
      <c r="K6" s="7"/>
    </row>
    <row r="7" spans="1:11">
      <c r="A7" s="97"/>
      <c r="B7" s="97"/>
      <c r="C7" s="97"/>
      <c r="D7" s="97"/>
      <c r="E7" s="97"/>
      <c r="F7" s="97"/>
      <c r="G7" s="97"/>
      <c r="H7" s="7"/>
      <c r="I7" s="7"/>
      <c r="J7" s="7"/>
      <c r="K7" s="7"/>
    </row>
    <row r="8" spans="1:11">
      <c r="A8" s="286" t="s">
        <v>612</v>
      </c>
      <c r="B8" s="97"/>
      <c r="C8" s="97"/>
      <c r="D8" s="97"/>
      <c r="E8" s="97"/>
      <c r="F8" s="97"/>
      <c r="G8" s="97"/>
      <c r="H8" s="7"/>
      <c r="I8" s="7"/>
      <c r="J8" s="7"/>
      <c r="K8" s="7"/>
    </row>
    <row r="9" spans="1:11" ht="13.5" thickBot="1">
      <c r="A9" s="286"/>
      <c r="B9" s="97"/>
      <c r="C9" s="97"/>
      <c r="D9" s="97"/>
      <c r="E9" s="97"/>
      <c r="F9" s="97"/>
      <c r="G9" s="97"/>
      <c r="H9" s="7"/>
      <c r="I9" s="7"/>
      <c r="J9" s="7"/>
      <c r="K9" s="7"/>
    </row>
    <row r="10" spans="1:11">
      <c r="A10" s="96"/>
      <c r="B10" s="356" t="s">
        <v>602</v>
      </c>
      <c r="C10" s="357"/>
      <c r="D10" s="357" t="s">
        <v>549</v>
      </c>
      <c r="E10" s="97"/>
      <c r="F10" s="97"/>
      <c r="G10" s="97"/>
      <c r="H10" s="7"/>
      <c r="I10" s="7"/>
      <c r="J10" s="7"/>
      <c r="K10" s="7"/>
    </row>
    <row r="11" spans="1:11" ht="13.5" thickBot="1">
      <c r="A11" s="96"/>
      <c r="B11" s="360"/>
      <c r="C11" s="361"/>
      <c r="D11" s="361" t="s">
        <v>601</v>
      </c>
      <c r="E11" s="97"/>
      <c r="F11" s="97"/>
      <c r="G11" s="97"/>
      <c r="H11" s="7"/>
      <c r="I11" s="7"/>
      <c r="J11" s="7"/>
      <c r="K11" s="7"/>
    </row>
    <row r="12" spans="1:11">
      <c r="A12" s="96"/>
      <c r="B12" s="365" t="s">
        <v>606</v>
      </c>
      <c r="C12" s="366"/>
      <c r="D12" s="362">
        <v>3</v>
      </c>
      <c r="E12" s="97"/>
      <c r="F12" s="97"/>
      <c r="G12" s="97"/>
      <c r="H12" s="7"/>
      <c r="I12" s="7"/>
      <c r="J12" s="7"/>
      <c r="K12" s="7"/>
    </row>
    <row r="13" spans="1:11">
      <c r="A13" s="96"/>
      <c r="B13" s="358" t="s">
        <v>603</v>
      </c>
      <c r="C13" s="362"/>
      <c r="D13" s="363">
        <v>20</v>
      </c>
      <c r="E13" s="97"/>
      <c r="F13" s="97"/>
      <c r="G13" s="97"/>
      <c r="H13" s="7"/>
      <c r="I13" s="7"/>
      <c r="J13" s="7"/>
      <c r="K13" s="7"/>
    </row>
    <row r="14" spans="1:11">
      <c r="A14" s="96"/>
      <c r="B14" s="358" t="s">
        <v>604</v>
      </c>
      <c r="C14" s="362"/>
      <c r="D14" s="363">
        <v>10</v>
      </c>
      <c r="E14" s="97"/>
      <c r="F14" s="97"/>
      <c r="G14" s="97"/>
      <c r="H14" s="7"/>
      <c r="I14" s="7"/>
      <c r="J14" s="7"/>
      <c r="K14" s="7"/>
    </row>
    <row r="15" spans="1:11">
      <c r="A15" s="96"/>
      <c r="B15" s="358" t="s">
        <v>605</v>
      </c>
      <c r="C15" s="362"/>
      <c r="D15" s="363">
        <v>6</v>
      </c>
      <c r="E15" s="97"/>
      <c r="F15" s="97"/>
      <c r="G15" s="97"/>
      <c r="H15" s="7"/>
      <c r="I15" s="7"/>
      <c r="J15" s="7"/>
      <c r="K15" s="7"/>
    </row>
    <row r="16" spans="1:11">
      <c r="A16" s="96"/>
      <c r="B16" s="358" t="s">
        <v>607</v>
      </c>
      <c r="C16" s="362"/>
      <c r="D16" s="363">
        <v>12</v>
      </c>
      <c r="E16" s="97"/>
      <c r="F16" s="97"/>
      <c r="G16" s="97"/>
      <c r="H16" s="7"/>
      <c r="I16" s="7"/>
      <c r="J16" s="7"/>
      <c r="K16" s="7"/>
    </row>
    <row r="17" spans="1:11" ht="13.5" thickBot="1">
      <c r="A17" s="96"/>
      <c r="B17" s="359" t="s">
        <v>608</v>
      </c>
      <c r="C17" s="367"/>
      <c r="D17" s="364">
        <v>8</v>
      </c>
      <c r="E17" s="97"/>
      <c r="F17" s="97"/>
      <c r="G17" s="97"/>
      <c r="H17" s="7"/>
      <c r="I17" s="7"/>
      <c r="J17" s="7"/>
      <c r="K17" s="7"/>
    </row>
    <row r="18" spans="1:11">
      <c r="A18" s="96"/>
      <c r="B18" s="97"/>
      <c r="C18" s="97"/>
      <c r="D18" s="97"/>
      <c r="E18" s="97"/>
      <c r="F18" s="97"/>
      <c r="G18" s="97"/>
      <c r="H18" s="7"/>
      <c r="I18" s="7"/>
      <c r="J18" s="7"/>
      <c r="K18" s="7"/>
    </row>
    <row r="19" spans="1:11">
      <c r="A19" s="96"/>
      <c r="B19" s="97"/>
      <c r="C19" s="97"/>
      <c r="D19" s="97"/>
      <c r="E19" s="97"/>
      <c r="F19" s="97"/>
      <c r="G19" s="97"/>
      <c r="H19" s="7"/>
      <c r="I19" s="7"/>
      <c r="J19" s="7"/>
      <c r="K19" s="7"/>
    </row>
    <row r="20" spans="1:11">
      <c r="A20" s="96" t="s">
        <v>574</v>
      </c>
      <c r="B20" s="97"/>
      <c r="C20" s="97"/>
      <c r="D20" s="97"/>
      <c r="E20" s="97"/>
      <c r="F20" s="97"/>
      <c r="G20" s="97"/>
      <c r="H20" s="7"/>
      <c r="I20" s="7"/>
      <c r="J20" s="7"/>
      <c r="K20" s="7"/>
    </row>
    <row r="21" spans="1:11">
      <c r="A21" s="97"/>
      <c r="B21" s="97"/>
      <c r="C21" s="97"/>
      <c r="D21" s="97"/>
      <c r="E21" s="97"/>
      <c r="F21" s="97"/>
      <c r="G21" s="97"/>
      <c r="H21" s="7"/>
      <c r="I21" s="7"/>
      <c r="J21" s="7"/>
      <c r="K21" s="7"/>
    </row>
    <row r="22" spans="1:11" ht="14.25">
      <c r="A22" s="286" t="s">
        <v>512</v>
      </c>
      <c r="B22" s="97"/>
      <c r="C22" s="97"/>
      <c r="D22" s="97"/>
      <c r="E22" s="587">
        <f>+superficies!D22</f>
        <v>261.89999999999998</v>
      </c>
      <c r="F22" s="286" t="s">
        <v>511</v>
      </c>
      <c r="G22" s="97"/>
      <c r="H22" s="97"/>
      <c r="I22" s="97"/>
      <c r="J22" s="97"/>
      <c r="K22" s="97"/>
    </row>
    <row r="23" spans="1:11">
      <c r="A23" s="97" t="s">
        <v>228</v>
      </c>
      <c r="B23" s="97"/>
      <c r="C23" s="97"/>
      <c r="D23" s="97"/>
      <c r="E23" s="338">
        <v>20</v>
      </c>
      <c r="F23" s="286" t="s">
        <v>515</v>
      </c>
      <c r="G23" s="97"/>
      <c r="H23" s="7"/>
      <c r="I23" s="7"/>
      <c r="J23" s="7"/>
      <c r="K23" s="7"/>
    </row>
    <row r="24" spans="1:11" ht="14.25">
      <c r="A24" s="286" t="s">
        <v>513</v>
      </c>
      <c r="B24" s="97"/>
      <c r="C24" s="97"/>
      <c r="D24" s="97"/>
      <c r="E24" s="128">
        <f>+E23*E22</f>
        <v>5238</v>
      </c>
      <c r="F24" s="286" t="s">
        <v>517</v>
      </c>
      <c r="G24" s="97"/>
      <c r="H24" s="7"/>
      <c r="I24" s="7"/>
      <c r="J24" s="7"/>
      <c r="K24" s="7"/>
    </row>
    <row r="25" spans="1:11">
      <c r="A25" s="286" t="s">
        <v>514</v>
      </c>
      <c r="B25" s="97"/>
      <c r="C25" s="97"/>
      <c r="D25" s="97"/>
      <c r="E25" s="147" t="str">
        <f>VLOOKUP(Lugar!E84,Lugar!A65:C84,2)</f>
        <v>Rama Caída</v>
      </c>
      <c r="F25" s="97"/>
      <c r="G25" s="97"/>
      <c r="H25" s="7"/>
      <c r="I25" s="7"/>
      <c r="J25" s="7"/>
      <c r="K25" s="7"/>
    </row>
    <row r="26" spans="1:11">
      <c r="A26" s="286" t="s">
        <v>518</v>
      </c>
      <c r="B26" s="97"/>
      <c r="C26" s="97"/>
      <c r="D26" s="97"/>
      <c r="E26" s="147">
        <f>VLOOKUP(Lugar!E84,Lugar!A64:E84,4)</f>
        <v>9</v>
      </c>
      <c r="F26" s="304" t="s">
        <v>516</v>
      </c>
      <c r="G26" s="97"/>
      <c r="H26" s="7"/>
      <c r="I26" s="7"/>
      <c r="J26" s="7"/>
      <c r="K26" s="7"/>
    </row>
    <row r="27" spans="1:11">
      <c r="A27" s="97" t="s">
        <v>528</v>
      </c>
      <c r="B27" s="97"/>
      <c r="C27" s="97"/>
      <c r="D27" s="97"/>
      <c r="E27" s="128" t="str">
        <f>VLOOKUP(Lugar!E84,Lugar!A64:I84,8)</f>
        <v>S</v>
      </c>
      <c r="F27" s="307" t="s">
        <v>523</v>
      </c>
      <c r="G27" s="308"/>
      <c r="H27" s="309"/>
      <c r="I27" s="7"/>
      <c r="J27" s="7"/>
      <c r="K27" s="7"/>
    </row>
    <row r="28" spans="1:11">
      <c r="A28" s="286" t="s">
        <v>478</v>
      </c>
      <c r="B28" s="97"/>
      <c r="C28" s="97"/>
      <c r="D28" s="97"/>
      <c r="E28" s="128">
        <f>VLOOKUP(Lugar!E84,Lugar!A64:I84,7)</f>
        <v>45</v>
      </c>
      <c r="F28" s="307" t="s">
        <v>477</v>
      </c>
      <c r="G28" s="308"/>
      <c r="H28" s="128" t="str">
        <f>VLOOKUP(Lugar!E84,Lugar!A64:I84,8)</f>
        <v>S</v>
      </c>
      <c r="I28" s="7"/>
      <c r="J28" s="7"/>
      <c r="K28" s="7"/>
    </row>
    <row r="29" spans="1:11">
      <c r="A29" s="286" t="s">
        <v>488</v>
      </c>
      <c r="B29" s="97"/>
      <c r="C29" s="97"/>
      <c r="D29" s="97"/>
      <c r="E29" s="97"/>
      <c r="F29" s="97"/>
      <c r="G29" s="97"/>
      <c r="H29" s="7"/>
      <c r="I29" s="7"/>
      <c r="J29" s="7"/>
      <c r="K29" s="7"/>
    </row>
    <row r="30" spans="1:11">
      <c r="A30" s="97"/>
      <c r="B30" s="286" t="s">
        <v>487</v>
      </c>
      <c r="C30" s="286"/>
      <c r="D30" s="97" t="s">
        <v>182</v>
      </c>
      <c r="E30" s="97">
        <f>IF($E$28&lt;22.5,0.4,IF($E$28&lt;40,0.4,IF($E$28&lt;60,0.25,IF($E$28&lt;=80,-0.06,-0.4))))</f>
        <v>0.25</v>
      </c>
      <c r="F30" s="97"/>
      <c r="G30" s="97"/>
      <c r="H30" s="7"/>
      <c r="I30" s="7"/>
      <c r="J30" s="7"/>
      <c r="K30" s="7"/>
    </row>
    <row r="31" spans="1:11">
      <c r="A31" s="97"/>
      <c r="B31" s="286" t="s">
        <v>487</v>
      </c>
      <c r="C31" s="97"/>
      <c r="D31" s="97" t="s">
        <v>229</v>
      </c>
      <c r="E31" s="97">
        <f>IF($E$28&lt;22.5,-0.4,IF($E$28&lt;40,-0.06,IF($E$28&lt;60,0.25,IF($E$28&lt;=80,0.3,0.4))))</f>
        <v>0.25</v>
      </c>
      <c r="F31" s="97"/>
      <c r="G31" s="97"/>
      <c r="H31" s="7"/>
      <c r="I31" s="7"/>
      <c r="J31" s="7"/>
      <c r="K31" s="7"/>
    </row>
    <row r="32" spans="1:11">
      <c r="A32" s="97"/>
      <c r="B32" s="286" t="s">
        <v>487</v>
      </c>
      <c r="C32" s="97"/>
      <c r="D32" s="97" t="s">
        <v>184</v>
      </c>
      <c r="E32" s="97">
        <f>IF($E$28&lt;22.5,-0.25,IF($E$28&lt;40,-0.4,IF($E$28&lt;60,-0.45,IF($E$28&lt;=80,-0.55,-0.4))))</f>
        <v>-0.45</v>
      </c>
      <c r="F32" s="97"/>
      <c r="G32" s="97"/>
      <c r="H32" s="7"/>
      <c r="I32" s="7"/>
      <c r="J32" s="7"/>
      <c r="K32" s="7"/>
    </row>
    <row r="33" spans="1:11">
      <c r="A33" s="97"/>
      <c r="B33" s="286" t="s">
        <v>487</v>
      </c>
      <c r="C33" s="97"/>
      <c r="D33" s="97" t="s">
        <v>230</v>
      </c>
      <c r="E33" s="97">
        <f>IF($E$28&lt;22.5,-0.4,IF($E$28&lt;40,-0.6,IF($E$28&lt;60,-0.45,IF($E$28&lt;=80,-0.4,-0.25))))</f>
        <v>-0.45</v>
      </c>
      <c r="F33" s="97"/>
      <c r="G33" s="97"/>
      <c r="H33" s="7"/>
      <c r="I33" s="7"/>
      <c r="J33" s="7"/>
      <c r="K33" s="7"/>
    </row>
    <row r="34" spans="1:11">
      <c r="A34" s="97"/>
      <c r="B34" s="286" t="s">
        <v>489</v>
      </c>
      <c r="C34" s="97"/>
      <c r="D34" s="97" t="s">
        <v>186</v>
      </c>
      <c r="E34" s="97">
        <v>-0.3</v>
      </c>
      <c r="F34" s="286" t="s">
        <v>581</v>
      </c>
      <c r="G34" s="97"/>
      <c r="H34" s="7"/>
      <c r="I34" s="7"/>
      <c r="J34" s="7"/>
      <c r="K34" s="7"/>
    </row>
    <row r="35" spans="1:11">
      <c r="A35" s="97"/>
      <c r="B35" s="97"/>
      <c r="C35" s="97"/>
      <c r="D35" s="97"/>
      <c r="E35" s="97"/>
      <c r="F35" s="97"/>
      <c r="G35" s="97"/>
      <c r="H35" s="7"/>
      <c r="I35" s="7"/>
      <c r="J35" s="7"/>
      <c r="K35" s="7"/>
    </row>
    <row r="36" spans="1:11">
      <c r="A36" s="97"/>
      <c r="B36" s="97"/>
      <c r="C36" s="97"/>
      <c r="D36" s="97"/>
      <c r="E36" s="286" t="s">
        <v>524</v>
      </c>
      <c r="F36" s="97"/>
      <c r="G36" s="97"/>
      <c r="H36" s="7"/>
      <c r="I36" s="286" t="s">
        <v>525</v>
      </c>
      <c r="J36" s="7"/>
      <c r="K36" s="7"/>
    </row>
    <row r="37" spans="1:11">
      <c r="A37" s="97"/>
      <c r="B37" s="97"/>
      <c r="C37" s="97"/>
      <c r="D37" s="97"/>
      <c r="E37" s="97" t="s">
        <v>527</v>
      </c>
      <c r="F37" s="97"/>
      <c r="G37" s="97"/>
      <c r="H37" s="7"/>
      <c r="I37" s="7" t="s">
        <v>526</v>
      </c>
      <c r="J37" s="7"/>
      <c r="K37" s="7"/>
    </row>
    <row r="38" spans="1:11">
      <c r="A38" s="97"/>
      <c r="B38" s="97"/>
      <c r="C38" s="97"/>
      <c r="D38" s="97"/>
      <c r="E38" s="97" t="str">
        <f>+F28</f>
        <v xml:space="preserve">   Lado "a" sería:</v>
      </c>
      <c r="F38" s="97"/>
      <c r="G38" s="97" t="str">
        <f>+H28</f>
        <v>S</v>
      </c>
      <c r="H38" s="97"/>
      <c r="I38" s="7"/>
      <c r="J38" s="7"/>
      <c r="K38" s="7"/>
    </row>
    <row r="39" spans="1:1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</row>
    <row r="40" spans="1:11">
      <c r="A40" s="97"/>
      <c r="B40" s="97"/>
      <c r="C40" s="97"/>
      <c r="D40" s="97"/>
      <c r="E40" s="286" t="s">
        <v>479</v>
      </c>
      <c r="F40" s="97"/>
      <c r="G40" s="140" t="s">
        <v>480</v>
      </c>
      <c r="H40" s="7">
        <f>+E30-E32</f>
        <v>0.7</v>
      </c>
      <c r="I40" s="140" t="s">
        <v>490</v>
      </c>
      <c r="J40" s="7"/>
      <c r="K40" s="7"/>
    </row>
    <row r="41" spans="1:11">
      <c r="A41" s="97"/>
      <c r="B41" s="97"/>
      <c r="C41" s="97"/>
      <c r="D41" s="97"/>
      <c r="E41" s="286" t="s">
        <v>485</v>
      </c>
      <c r="F41" s="97"/>
      <c r="G41" s="140" t="s">
        <v>481</v>
      </c>
      <c r="H41" s="7">
        <f>+E30-E31</f>
        <v>0</v>
      </c>
      <c r="I41" s="140" t="s">
        <v>491</v>
      </c>
      <c r="J41" s="7"/>
      <c r="K41" s="7"/>
    </row>
    <row r="42" spans="1:11">
      <c r="A42" s="97"/>
      <c r="B42" s="97"/>
      <c r="C42" s="97"/>
      <c r="D42" s="97"/>
      <c r="E42" s="286" t="s">
        <v>486</v>
      </c>
      <c r="F42" s="97"/>
      <c r="G42" s="140" t="s">
        <v>482</v>
      </c>
      <c r="H42" s="7">
        <f>+E30-E33</f>
        <v>0.7</v>
      </c>
      <c r="I42" s="140" t="s">
        <v>492</v>
      </c>
      <c r="J42" s="7"/>
      <c r="K42" s="7"/>
    </row>
    <row r="43" spans="1:11">
      <c r="A43" s="97"/>
      <c r="B43" s="97"/>
      <c r="C43" s="97"/>
      <c r="D43" s="97"/>
      <c r="E43" s="286" t="s">
        <v>484</v>
      </c>
      <c r="F43" s="97"/>
      <c r="G43" s="140" t="s">
        <v>483</v>
      </c>
      <c r="H43" s="7">
        <f>+E30-E34</f>
        <v>0.55000000000000004</v>
      </c>
      <c r="I43" s="140" t="s">
        <v>493</v>
      </c>
      <c r="J43" s="7"/>
      <c r="K43" s="7"/>
    </row>
    <row r="44" spans="1:11">
      <c r="A44" s="97"/>
      <c r="B44" s="97"/>
      <c r="C44" s="97"/>
      <c r="D44" s="97"/>
      <c r="E44" s="97"/>
      <c r="F44" s="97"/>
      <c r="G44" s="97"/>
      <c r="H44" s="7"/>
      <c r="I44" s="7"/>
      <c r="J44" s="7"/>
      <c r="K44" s="7"/>
    </row>
    <row r="45" spans="1:11">
      <c r="A45" s="97"/>
      <c r="B45" s="97"/>
      <c r="C45" s="97"/>
      <c r="D45" s="97"/>
      <c r="E45" s="97"/>
      <c r="F45" s="97"/>
      <c r="G45" s="97"/>
      <c r="H45" s="7"/>
      <c r="I45" s="7"/>
      <c r="J45" s="7"/>
      <c r="K45" s="7"/>
    </row>
    <row r="46" spans="1:11">
      <c r="A46" s="97"/>
      <c r="B46" s="97"/>
      <c r="C46" s="97"/>
      <c r="D46" s="97"/>
      <c r="E46" s="97"/>
      <c r="F46" s="97"/>
      <c r="G46" s="97"/>
      <c r="H46" s="7"/>
      <c r="I46" s="7"/>
      <c r="J46" s="7"/>
      <c r="K46" s="7"/>
    </row>
    <row r="47" spans="1:11">
      <c r="A47" s="97"/>
      <c r="B47" s="97"/>
      <c r="C47" s="97"/>
      <c r="D47" s="97"/>
      <c r="E47" s="97"/>
      <c r="F47" s="97"/>
      <c r="G47" s="97"/>
      <c r="H47" s="7"/>
      <c r="I47" s="7"/>
      <c r="J47" s="7"/>
      <c r="K47" s="7"/>
    </row>
    <row r="48" spans="1:11">
      <c r="A48" s="97"/>
      <c r="B48" s="97"/>
      <c r="C48" s="97"/>
      <c r="D48" s="97"/>
      <c r="E48" s="97"/>
      <c r="F48" s="97"/>
      <c r="G48" s="97"/>
      <c r="H48" s="7"/>
      <c r="I48" s="7"/>
      <c r="J48" s="7"/>
      <c r="K48" s="7"/>
    </row>
    <row r="49" spans="1:11">
      <c r="A49" s="97"/>
      <c r="B49" s="97"/>
      <c r="C49" s="97"/>
      <c r="D49" s="97"/>
      <c r="E49" s="97"/>
      <c r="F49" s="97"/>
      <c r="G49" s="97"/>
      <c r="H49" s="7"/>
      <c r="I49" s="7"/>
      <c r="J49" s="7"/>
      <c r="K49" s="7"/>
    </row>
    <row r="50" spans="1:11">
      <c r="A50" s="97"/>
      <c r="B50" s="97"/>
      <c r="C50" s="97"/>
      <c r="D50" s="97"/>
      <c r="E50" s="97"/>
      <c r="F50" s="97"/>
      <c r="G50" s="97"/>
      <c r="H50" s="7"/>
      <c r="I50" s="7"/>
      <c r="J50" s="7"/>
      <c r="K50" s="7"/>
    </row>
    <row r="51" spans="1:11">
      <c r="A51" s="97"/>
      <c r="B51" s="97"/>
      <c r="C51" s="97"/>
      <c r="D51" s="97"/>
      <c r="E51" s="97"/>
      <c r="F51" s="97"/>
      <c r="G51" s="97"/>
      <c r="H51" s="7"/>
      <c r="I51" s="7"/>
      <c r="J51" s="7"/>
      <c r="K51" s="7"/>
    </row>
    <row r="52" spans="1:11">
      <c r="A52" s="97"/>
      <c r="B52" s="97"/>
      <c r="C52" s="97"/>
      <c r="D52" s="97"/>
      <c r="E52" s="97"/>
      <c r="F52" s="97"/>
      <c r="G52" s="97"/>
      <c r="H52" s="7"/>
      <c r="I52" s="7"/>
      <c r="J52" s="7"/>
      <c r="K52" s="7"/>
    </row>
    <row r="53" spans="1:11">
      <c r="A53" s="97" t="s">
        <v>231</v>
      </c>
      <c r="B53" s="97"/>
      <c r="C53" s="97"/>
      <c r="D53" s="97"/>
      <c r="E53" s="97"/>
      <c r="F53" s="97"/>
      <c r="G53" s="97"/>
      <c r="H53" s="7"/>
      <c r="I53" s="7"/>
      <c r="J53" s="7"/>
      <c r="K53" s="7"/>
    </row>
    <row r="54" spans="1:11">
      <c r="A54" s="97" t="s">
        <v>232</v>
      </c>
      <c r="B54" s="97"/>
      <c r="C54" s="97"/>
      <c r="D54" s="97"/>
      <c r="E54" s="90">
        <f>+E30-E32</f>
        <v>0.7</v>
      </c>
      <c r="F54" s="97"/>
      <c r="G54" s="286" t="s">
        <v>495</v>
      </c>
      <c r="H54" s="7"/>
      <c r="I54" s="7"/>
      <c r="J54" s="7"/>
      <c r="K54" s="7"/>
    </row>
    <row r="55" spans="1:11">
      <c r="A55" s="97"/>
      <c r="B55" s="97"/>
      <c r="C55" s="97"/>
      <c r="D55" s="97"/>
      <c r="E55" s="97"/>
      <c r="F55" s="97"/>
      <c r="G55" s="286" t="s">
        <v>494</v>
      </c>
      <c r="H55" s="7"/>
      <c r="I55" s="7"/>
      <c r="J55" s="7"/>
      <c r="K55" s="7"/>
    </row>
    <row r="56" spans="1:11">
      <c r="A56" s="286" t="s">
        <v>496</v>
      </c>
      <c r="B56" s="97"/>
      <c r="C56" s="97"/>
      <c r="D56" s="97"/>
      <c r="E56" s="97"/>
      <c r="F56" s="97"/>
      <c r="G56" s="97"/>
      <c r="H56" s="7"/>
      <c r="I56" s="7"/>
      <c r="J56" s="7"/>
      <c r="K56" s="7"/>
    </row>
    <row r="57" spans="1:11">
      <c r="A57" s="97"/>
      <c r="B57" s="97"/>
      <c r="C57" s="97"/>
      <c r="D57" s="97"/>
      <c r="E57" s="97"/>
      <c r="F57" s="97"/>
      <c r="G57" s="97"/>
      <c r="H57" s="7"/>
      <c r="I57" s="7"/>
      <c r="J57" s="7"/>
      <c r="K57" s="7"/>
    </row>
    <row r="58" spans="1:11">
      <c r="A58" s="97"/>
      <c r="B58" s="97" t="s">
        <v>471</v>
      </c>
      <c r="C58" s="97"/>
      <c r="D58" s="97"/>
      <c r="E58" s="90">
        <v>12</v>
      </c>
      <c r="F58" s="97" t="s">
        <v>473</v>
      </c>
      <c r="G58" s="286" t="s">
        <v>616</v>
      </c>
      <c r="H58" s="7"/>
      <c r="I58" s="7"/>
      <c r="J58" s="7"/>
      <c r="K58" s="7"/>
    </row>
    <row r="59" spans="1:11">
      <c r="A59" s="97"/>
      <c r="B59" s="97" t="s">
        <v>472</v>
      </c>
      <c r="C59" s="97"/>
      <c r="D59" s="97"/>
      <c r="E59" s="90">
        <v>6</v>
      </c>
      <c r="F59" s="97" t="s">
        <v>473</v>
      </c>
      <c r="G59" s="97" t="s">
        <v>614</v>
      </c>
      <c r="H59" s="7"/>
      <c r="I59" s="7"/>
      <c r="J59" s="7"/>
      <c r="K59" s="7"/>
    </row>
    <row r="60" spans="1:11">
      <c r="A60" s="97"/>
      <c r="B60" s="97" t="s">
        <v>233</v>
      </c>
      <c r="C60" s="97"/>
      <c r="D60" s="97"/>
      <c r="E60" s="97">
        <f>+E58/E59</f>
        <v>2</v>
      </c>
      <c r="F60" s="97" t="s">
        <v>2</v>
      </c>
      <c r="G60" s="97" t="s">
        <v>615</v>
      </c>
      <c r="H60" s="7"/>
      <c r="I60" s="7"/>
      <c r="J60" s="7"/>
      <c r="K60" s="7"/>
    </row>
    <row r="61" spans="1:11">
      <c r="A61" s="97"/>
      <c r="B61" s="97" t="s">
        <v>234</v>
      </c>
      <c r="C61" s="97"/>
      <c r="D61" s="97"/>
      <c r="E61" s="97">
        <f>IF(E60&lt;=6,0.0304+0.1689*E60,0.0304+0.1689*6)</f>
        <v>0.36819999999999997</v>
      </c>
      <c r="F61" s="97" t="s">
        <v>2</v>
      </c>
      <c r="G61" s="97"/>
      <c r="H61" s="7"/>
      <c r="I61" s="7"/>
      <c r="J61" s="7"/>
      <c r="K61" s="7"/>
    </row>
    <row r="62" spans="1:11">
      <c r="A62" s="97"/>
      <c r="B62" s="97" t="s">
        <v>235</v>
      </c>
      <c r="C62" s="97"/>
      <c r="D62" s="97"/>
      <c r="E62" s="97">
        <f>IF(E60&lt;=6,0.0421+0.2264*E60,0.0421+0.2264*6)</f>
        <v>0.49490000000000001</v>
      </c>
      <c r="F62" s="97"/>
      <c r="G62" s="97"/>
      <c r="H62" s="7"/>
      <c r="I62" s="7"/>
      <c r="J62" s="7"/>
      <c r="K62" s="7"/>
    </row>
    <row r="63" spans="1:11">
      <c r="A63" s="97"/>
      <c r="B63" s="97"/>
      <c r="C63" s="97"/>
      <c r="D63" s="97"/>
      <c r="E63" s="97"/>
      <c r="F63" s="97"/>
      <c r="G63" s="97"/>
      <c r="H63" s="7"/>
      <c r="I63" s="7"/>
      <c r="J63" s="7"/>
      <c r="K63" s="7"/>
    </row>
    <row r="64" spans="1:11">
      <c r="A64" s="97" t="s">
        <v>236</v>
      </c>
      <c r="B64" s="97"/>
      <c r="C64" s="97"/>
      <c r="D64" s="97"/>
      <c r="E64" s="97"/>
      <c r="F64" s="97"/>
      <c r="G64" s="97"/>
      <c r="H64" s="7"/>
      <c r="I64" s="7"/>
      <c r="J64" s="7"/>
      <c r="K64" s="7"/>
    </row>
    <row r="65" spans="1:11">
      <c r="A65" s="97"/>
      <c r="B65" s="97" t="s">
        <v>237</v>
      </c>
      <c r="C65" s="97"/>
      <c r="D65" s="97"/>
      <c r="E65" s="97">
        <f>+E61*E54</f>
        <v>0.25773999999999997</v>
      </c>
      <c r="F65" s="97"/>
      <c r="G65" s="97"/>
      <c r="H65" s="7"/>
      <c r="I65" s="7"/>
      <c r="J65" s="7"/>
      <c r="K65" s="7"/>
    </row>
    <row r="66" spans="1:11">
      <c r="A66" s="97"/>
      <c r="B66" s="97" t="s">
        <v>238</v>
      </c>
      <c r="C66" s="97"/>
      <c r="D66" s="97"/>
      <c r="E66" s="97">
        <f>+E62*E54</f>
        <v>0.34642999999999996</v>
      </c>
      <c r="F66" s="97"/>
      <c r="G66" s="97"/>
      <c r="H66" s="7"/>
      <c r="I66" s="7"/>
      <c r="J66" s="7"/>
      <c r="K66" s="7"/>
    </row>
    <row r="67" spans="1:11">
      <c r="A67" s="97"/>
      <c r="B67" s="97"/>
      <c r="C67" s="97"/>
      <c r="D67" s="97"/>
      <c r="E67" s="97"/>
      <c r="F67" s="97"/>
      <c r="G67" s="97"/>
      <c r="H67" s="7"/>
      <c r="I67" s="7"/>
      <c r="J67" s="7"/>
      <c r="K67" s="7"/>
    </row>
    <row r="68" spans="1:11">
      <c r="A68" s="97" t="s">
        <v>239</v>
      </c>
      <c r="B68" s="97"/>
      <c r="C68" s="97"/>
      <c r="D68" s="97"/>
      <c r="E68" s="97"/>
      <c r="F68" s="128"/>
      <c r="G68" s="128"/>
      <c r="H68" s="7"/>
      <c r="I68" s="7"/>
      <c r="J68" s="7"/>
      <c r="K68" s="7"/>
    </row>
    <row r="69" spans="1:11">
      <c r="A69" s="97"/>
      <c r="B69" s="97"/>
      <c r="C69" s="97"/>
      <c r="D69" s="97" t="s">
        <v>474</v>
      </c>
      <c r="E69" s="97"/>
      <c r="F69" s="285" t="s">
        <v>497</v>
      </c>
      <c r="G69" s="285" t="s">
        <v>498</v>
      </c>
      <c r="H69" s="7"/>
      <c r="I69" s="7"/>
      <c r="J69" s="7"/>
      <c r="K69" s="7"/>
    </row>
    <row r="70" spans="1:11">
      <c r="A70" s="97"/>
      <c r="B70" s="97"/>
      <c r="C70" s="97"/>
      <c r="D70" s="97"/>
      <c r="E70" s="97"/>
      <c r="F70" s="128"/>
      <c r="G70" s="128"/>
      <c r="H70" s="7"/>
      <c r="I70" s="7"/>
      <c r="J70" s="7"/>
      <c r="K70" s="7"/>
    </row>
    <row r="71" spans="1:11">
      <c r="A71" s="97"/>
      <c r="B71" s="97" t="s">
        <v>240</v>
      </c>
      <c r="C71" s="97"/>
      <c r="D71" s="97"/>
      <c r="E71" s="97"/>
      <c r="F71" s="128">
        <v>1.3</v>
      </c>
      <c r="G71" s="128">
        <v>0.98</v>
      </c>
      <c r="H71" s="7"/>
      <c r="I71" s="7"/>
      <c r="J71" s="7"/>
      <c r="K71" s="7"/>
    </row>
    <row r="72" spans="1:11">
      <c r="A72" s="97"/>
      <c r="B72" s="97" t="s">
        <v>241</v>
      </c>
      <c r="C72" s="97"/>
      <c r="D72" s="97"/>
      <c r="E72" s="97"/>
      <c r="F72" s="128">
        <v>1</v>
      </c>
      <c r="G72" s="128">
        <v>0.75</v>
      </c>
      <c r="H72" s="7"/>
      <c r="I72" s="7"/>
      <c r="J72" s="7"/>
      <c r="K72" s="7"/>
    </row>
    <row r="73" spans="1:11">
      <c r="A73" s="97"/>
      <c r="B73" s="97" t="s">
        <v>242</v>
      </c>
      <c r="C73" s="97"/>
      <c r="D73" s="97"/>
      <c r="E73" s="97"/>
      <c r="F73" s="128">
        <v>0.85</v>
      </c>
      <c r="G73" s="128">
        <v>0.64</v>
      </c>
      <c r="H73" s="7"/>
      <c r="I73" s="7"/>
      <c r="J73" s="7"/>
      <c r="K73" s="7"/>
    </row>
    <row r="74" spans="1:11">
      <c r="A74" s="97"/>
      <c r="B74" s="97" t="s">
        <v>243</v>
      </c>
      <c r="C74" s="97"/>
      <c r="D74" s="97"/>
      <c r="E74" s="97"/>
      <c r="F74" s="128">
        <v>0.67</v>
      </c>
      <c r="G74" s="128">
        <v>0.5</v>
      </c>
      <c r="H74" s="7"/>
      <c r="I74" s="7"/>
      <c r="J74" s="7"/>
      <c r="K74" s="7"/>
    </row>
    <row r="75" spans="1:11">
      <c r="A75" s="97"/>
      <c r="B75" s="97" t="s">
        <v>244</v>
      </c>
      <c r="C75" s="97"/>
      <c r="D75" s="97"/>
      <c r="E75" s="97"/>
      <c r="F75" s="128">
        <v>0.47</v>
      </c>
      <c r="G75" s="128">
        <v>0.35</v>
      </c>
      <c r="H75" s="7"/>
      <c r="I75" s="7"/>
      <c r="J75" s="7"/>
      <c r="K75" s="7"/>
    </row>
    <row r="76" spans="1:11">
      <c r="A76" s="97"/>
      <c r="B76" s="97"/>
      <c r="C76" s="97"/>
      <c r="D76" s="97"/>
      <c r="E76" s="97"/>
      <c r="F76" s="97"/>
      <c r="G76" s="97"/>
      <c r="H76" s="7"/>
      <c r="I76" s="7"/>
      <c r="J76" s="7"/>
      <c r="K76" s="7"/>
    </row>
    <row r="77" spans="1:11">
      <c r="A77" s="97"/>
      <c r="B77" s="97" t="s">
        <v>245</v>
      </c>
      <c r="C77" s="97" t="s">
        <v>2</v>
      </c>
      <c r="D77" s="90">
        <v>0.85</v>
      </c>
      <c r="E77" s="97"/>
      <c r="F77" s="97"/>
      <c r="G77" s="97"/>
      <c r="H77" s="7"/>
      <c r="I77" s="7"/>
      <c r="J77" s="7"/>
      <c r="K77" s="7"/>
    </row>
    <row r="78" spans="1:11">
      <c r="A78" s="97"/>
      <c r="B78" s="97"/>
      <c r="C78" s="97"/>
      <c r="D78" s="97"/>
      <c r="E78" s="97"/>
      <c r="F78" s="97"/>
      <c r="G78" s="97"/>
      <c r="H78" s="7"/>
      <c r="I78" s="7"/>
      <c r="J78" s="7"/>
      <c r="K78" s="7"/>
    </row>
    <row r="79" spans="1:11">
      <c r="A79" s="97" t="s">
        <v>246</v>
      </c>
      <c r="B79" s="97"/>
      <c r="C79" s="97"/>
      <c r="D79" s="97"/>
      <c r="E79" s="97"/>
      <c r="F79" s="97"/>
      <c r="G79" s="97"/>
      <c r="H79" s="7"/>
      <c r="I79" s="7"/>
      <c r="J79" s="7"/>
      <c r="K79" s="7"/>
    </row>
    <row r="80" spans="1:11">
      <c r="A80" s="97"/>
      <c r="B80" s="97"/>
      <c r="C80" s="97"/>
      <c r="D80" s="97">
        <f>+E26*D77*1000</f>
        <v>7649.9999999999991</v>
      </c>
      <c r="E80" s="97" t="s">
        <v>256</v>
      </c>
      <c r="F80" s="97"/>
      <c r="G80" s="97"/>
      <c r="H80" s="7"/>
      <c r="I80" s="7"/>
      <c r="J80" s="7"/>
      <c r="K80" s="7"/>
    </row>
    <row r="81" spans="1:11">
      <c r="A81" s="97"/>
      <c r="B81" s="97"/>
      <c r="C81" s="97"/>
      <c r="D81" s="97"/>
      <c r="E81" s="97"/>
      <c r="F81" s="97"/>
      <c r="G81" s="97"/>
      <c r="H81" s="7"/>
      <c r="I81" s="7"/>
      <c r="J81" s="7"/>
      <c r="K81" s="7"/>
    </row>
    <row r="82" spans="1:11">
      <c r="A82" s="97" t="s">
        <v>247</v>
      </c>
      <c r="B82" s="97"/>
      <c r="C82" s="97"/>
      <c r="D82" s="97"/>
      <c r="E82" s="97"/>
      <c r="F82" s="97"/>
      <c r="G82" s="97"/>
      <c r="H82" s="7"/>
      <c r="I82" s="7"/>
      <c r="J82" s="7"/>
      <c r="K82" s="7"/>
    </row>
    <row r="83" spans="1:11">
      <c r="A83" s="97"/>
      <c r="B83" s="97"/>
      <c r="C83" s="97"/>
      <c r="D83" s="97"/>
      <c r="E83" s="97"/>
      <c r="F83" s="97"/>
      <c r="G83" s="97"/>
      <c r="H83" s="7"/>
      <c r="I83" s="7"/>
      <c r="J83" s="7"/>
      <c r="K83" s="7"/>
    </row>
    <row r="84" spans="1:11">
      <c r="A84" s="97" t="s">
        <v>248</v>
      </c>
      <c r="B84" s="97"/>
      <c r="C84" s="97"/>
      <c r="D84" s="99">
        <f>1.56*$E$24/($D$80*SQRT(E65))</f>
        <v>2.103961290320282</v>
      </c>
      <c r="E84" s="97" t="s">
        <v>27</v>
      </c>
      <c r="F84" s="97"/>
      <c r="G84" s="97"/>
      <c r="H84" s="7"/>
      <c r="I84" s="7"/>
      <c r="J84" s="7"/>
      <c r="K84" s="7"/>
    </row>
    <row r="85" spans="1:11">
      <c r="A85" s="286" t="s">
        <v>576</v>
      </c>
      <c r="B85" s="97"/>
      <c r="C85" s="97"/>
      <c r="D85" s="99">
        <f>1.56*$E$24/($D$80*SQRT(E66))</f>
        <v>1.8147671545629873</v>
      </c>
      <c r="E85" s="97" t="s">
        <v>27</v>
      </c>
      <c r="F85" s="97"/>
      <c r="G85" s="97"/>
      <c r="H85" s="7"/>
      <c r="I85" s="7"/>
      <c r="J85" s="7"/>
      <c r="K85" s="7"/>
    </row>
    <row r="86" spans="1:11" ht="13.5" thickBot="1">
      <c r="A86" s="97"/>
      <c r="B86" s="97"/>
      <c r="C86" s="97"/>
      <c r="D86" s="99"/>
      <c r="E86" s="97"/>
      <c r="F86" s="97"/>
      <c r="G86" s="97"/>
      <c r="H86" s="7"/>
      <c r="I86" s="7"/>
      <c r="J86" s="7"/>
      <c r="K86" s="7"/>
    </row>
    <row r="87" spans="1:11">
      <c r="A87" s="267" t="s">
        <v>501</v>
      </c>
      <c r="B87" s="261"/>
      <c r="C87" s="261"/>
      <c r="D87" s="268"/>
      <c r="E87" s="262"/>
      <c r="F87" s="97"/>
      <c r="G87" s="97"/>
      <c r="H87" s="7"/>
      <c r="I87" s="7"/>
      <c r="J87" s="7"/>
      <c r="K87" s="7"/>
    </row>
    <row r="88" spans="1:11">
      <c r="A88" s="263" t="s">
        <v>248</v>
      </c>
      <c r="B88" s="105"/>
      <c r="C88" s="105"/>
      <c r="D88" s="322">
        <f>+D84*1.41</f>
        <v>2.9665854193515973</v>
      </c>
      <c r="E88" s="264" t="s">
        <v>27</v>
      </c>
      <c r="F88" s="97"/>
      <c r="G88" s="97"/>
      <c r="H88" s="7"/>
      <c r="I88" s="7"/>
      <c r="J88" s="7"/>
      <c r="K88" s="7"/>
    </row>
    <row r="89" spans="1:11" ht="13.5" thickBot="1">
      <c r="A89" s="337" t="s">
        <v>576</v>
      </c>
      <c r="B89" s="271"/>
      <c r="C89" s="271"/>
      <c r="D89" s="323">
        <f>+D85*1.41</f>
        <v>2.5588216879338122</v>
      </c>
      <c r="E89" s="266" t="s">
        <v>27</v>
      </c>
      <c r="F89" s="97"/>
      <c r="G89" s="97"/>
      <c r="H89" s="7"/>
      <c r="I89" s="7"/>
      <c r="J89" s="7"/>
      <c r="K89" s="7"/>
    </row>
    <row r="90" spans="1:11">
      <c r="A90" s="423"/>
      <c r="B90" s="105"/>
      <c r="C90" s="105"/>
      <c r="D90" s="322"/>
      <c r="E90" s="105"/>
      <c r="F90" s="97"/>
      <c r="G90" s="97"/>
      <c r="H90" s="7"/>
      <c r="I90" s="7"/>
      <c r="J90" s="7"/>
      <c r="K90" s="7"/>
    </row>
    <row r="91" spans="1:11">
      <c r="A91" s="286"/>
      <c r="B91" s="97"/>
      <c r="C91" s="97"/>
      <c r="D91" s="99"/>
      <c r="E91" s="97"/>
      <c r="F91" s="97"/>
      <c r="G91" s="97"/>
      <c r="H91" s="7"/>
      <c r="I91" s="7"/>
      <c r="J91" s="7"/>
      <c r="K91" s="7"/>
    </row>
    <row r="92" spans="1:11">
      <c r="A92" s="286" t="s">
        <v>665</v>
      </c>
      <c r="B92" s="97"/>
      <c r="C92" s="97"/>
      <c r="D92" s="99"/>
      <c r="E92" s="97"/>
      <c r="F92" s="97"/>
      <c r="G92" s="97"/>
      <c r="H92" s="7"/>
      <c r="I92" s="7"/>
      <c r="J92" s="7"/>
      <c r="K92" s="7"/>
    </row>
    <row r="93" spans="1:11">
      <c r="A93" s="286" t="s">
        <v>666</v>
      </c>
      <c r="B93" s="97"/>
      <c r="C93" s="97"/>
      <c r="D93" s="99"/>
      <c r="E93" s="97"/>
      <c r="F93" s="97"/>
      <c r="G93" s="97"/>
      <c r="H93" s="7"/>
      <c r="I93" s="7"/>
      <c r="J93" s="7"/>
      <c r="K93" s="7"/>
    </row>
    <row r="94" spans="1:11" ht="13.5" thickBot="1">
      <c r="A94" s="97"/>
      <c r="B94" s="97"/>
      <c r="C94" s="97"/>
      <c r="D94" s="99"/>
      <c r="E94" s="97"/>
      <c r="F94" s="97"/>
      <c r="G94" s="97"/>
      <c r="H94" s="7"/>
      <c r="I94" s="7"/>
      <c r="J94" s="7"/>
      <c r="K94" s="7"/>
    </row>
    <row r="95" spans="1:11">
      <c r="A95" s="267" t="s">
        <v>502</v>
      </c>
      <c r="B95" s="261"/>
      <c r="C95" s="261"/>
      <c r="D95" s="268"/>
      <c r="E95" s="262"/>
      <c r="F95" s="97"/>
      <c r="G95" s="97"/>
      <c r="H95" s="7"/>
      <c r="I95" s="7"/>
      <c r="J95" s="7"/>
      <c r="K95" s="7"/>
    </row>
    <row r="96" spans="1:11">
      <c r="A96" s="263" t="s">
        <v>248</v>
      </c>
      <c r="B96" s="105"/>
      <c r="C96" s="105"/>
      <c r="D96" s="322">
        <f>+D88*2</f>
        <v>5.9331708387031945</v>
      </c>
      <c r="E96" s="264" t="s">
        <v>27</v>
      </c>
      <c r="F96" s="97"/>
      <c r="G96" s="97"/>
      <c r="H96" s="7"/>
      <c r="I96" s="7"/>
      <c r="J96" s="7"/>
      <c r="K96" s="7"/>
    </row>
    <row r="97" spans="1:11" ht="13.5" thickBot="1">
      <c r="A97" s="337" t="s">
        <v>576</v>
      </c>
      <c r="B97" s="271"/>
      <c r="C97" s="271"/>
      <c r="D97" s="323">
        <f>+D89*2</f>
        <v>5.1176433758676243</v>
      </c>
      <c r="E97" s="266" t="s">
        <v>27</v>
      </c>
      <c r="F97" s="97"/>
      <c r="G97" s="97"/>
      <c r="H97" s="7"/>
      <c r="I97" s="7"/>
      <c r="J97" s="7"/>
      <c r="K97" s="7"/>
    </row>
    <row r="98" spans="1:11">
      <c r="A98" s="97"/>
      <c r="B98" s="97"/>
      <c r="C98" s="97"/>
      <c r="D98" s="97"/>
      <c r="E98" s="97"/>
      <c r="F98" s="97"/>
      <c r="G98" s="97"/>
      <c r="H98" s="7"/>
      <c r="I98" s="7"/>
      <c r="J98" s="7"/>
      <c r="K98" s="7"/>
    </row>
    <row r="99" spans="1:11">
      <c r="A99" s="97" t="s">
        <v>323</v>
      </c>
      <c r="B99" s="97"/>
      <c r="C99" s="97"/>
      <c r="D99" s="97"/>
      <c r="E99" s="97"/>
      <c r="F99" s="97"/>
      <c r="G99" s="97"/>
      <c r="H99" s="7"/>
      <c r="I99" s="7"/>
      <c r="J99" s="7"/>
      <c r="K99" s="7"/>
    </row>
    <row r="100" spans="1:11">
      <c r="A100" s="286" t="s">
        <v>617</v>
      </c>
      <c r="B100" s="97"/>
      <c r="C100" s="97"/>
      <c r="D100" s="97"/>
      <c r="E100" s="97"/>
      <c r="F100" s="97"/>
      <c r="G100" s="97"/>
      <c r="H100" s="7"/>
      <c r="I100" s="7"/>
      <c r="J100" s="7"/>
      <c r="K100" s="7"/>
    </row>
    <row r="101" spans="1:11">
      <c r="A101" s="97"/>
      <c r="B101" s="97"/>
      <c r="C101" s="97"/>
      <c r="D101" s="97"/>
      <c r="E101" s="97"/>
      <c r="F101" s="97"/>
      <c r="G101" s="97"/>
      <c r="H101" s="7"/>
      <c r="I101" s="7"/>
      <c r="J101" s="7"/>
      <c r="K101" s="7"/>
    </row>
    <row r="102" spans="1:11">
      <c r="A102" s="97" t="s">
        <v>249</v>
      </c>
      <c r="B102" s="97"/>
      <c r="C102" s="97"/>
      <c r="D102" s="97"/>
      <c r="E102" s="97"/>
      <c r="F102" s="97"/>
      <c r="G102" s="97"/>
      <c r="H102" s="7"/>
      <c r="I102" s="7"/>
      <c r="J102" s="7"/>
      <c r="K102" s="7"/>
    </row>
    <row r="103" spans="1:11">
      <c r="A103" s="97"/>
      <c r="B103" s="97"/>
      <c r="C103" s="97"/>
      <c r="D103" s="97"/>
      <c r="E103" s="97"/>
      <c r="F103" s="97"/>
      <c r="G103" s="97"/>
      <c r="H103" s="7"/>
      <c r="I103" s="7"/>
      <c r="J103" s="7"/>
      <c r="K103" s="7"/>
    </row>
    <row r="104" spans="1:11">
      <c r="A104" s="97" t="s">
        <v>250</v>
      </c>
      <c r="B104" s="97"/>
      <c r="C104" s="97"/>
      <c r="D104" s="97"/>
      <c r="E104" s="97"/>
      <c r="F104" s="97"/>
      <c r="G104" s="97"/>
      <c r="H104" s="7"/>
      <c r="I104" s="7"/>
      <c r="J104" s="7"/>
      <c r="K104" s="7"/>
    </row>
    <row r="105" spans="1:11">
      <c r="A105" s="97"/>
      <c r="B105" s="97"/>
      <c r="C105" s="97"/>
      <c r="D105" s="97"/>
      <c r="E105" s="97"/>
      <c r="F105" s="97"/>
      <c r="G105" s="97"/>
      <c r="H105" s="7"/>
      <c r="I105" s="7"/>
      <c r="J105" s="7"/>
      <c r="K105" s="7"/>
    </row>
    <row r="106" spans="1:11">
      <c r="A106" s="97" t="s">
        <v>251</v>
      </c>
      <c r="B106" s="97"/>
      <c r="C106" s="97">
        <v>1</v>
      </c>
      <c r="D106" s="97"/>
      <c r="E106" s="97"/>
      <c r="F106" s="97"/>
      <c r="G106" s="97"/>
      <c r="H106" s="7"/>
      <c r="I106" s="7"/>
      <c r="J106" s="7"/>
      <c r="K106" s="7"/>
    </row>
    <row r="107" spans="1:11">
      <c r="A107" s="97" t="s">
        <v>252</v>
      </c>
      <c r="B107" s="97"/>
      <c r="C107" s="97">
        <v>0.8</v>
      </c>
      <c r="D107" s="97"/>
      <c r="E107" s="97"/>
      <c r="F107" s="97"/>
      <c r="G107" s="97"/>
      <c r="H107" s="7"/>
      <c r="I107" s="7"/>
      <c r="J107" s="7"/>
      <c r="K107" s="7"/>
    </row>
    <row r="108" spans="1:11">
      <c r="A108" s="97" t="s">
        <v>253</v>
      </c>
      <c r="B108" s="97"/>
      <c r="C108" s="97">
        <v>0.6</v>
      </c>
      <c r="D108" s="97"/>
      <c r="E108" s="97"/>
      <c r="F108" s="97"/>
      <c r="G108" s="97"/>
      <c r="H108" s="7"/>
      <c r="I108" s="7"/>
      <c r="J108" s="7"/>
      <c r="K108" s="7"/>
    </row>
    <row r="109" spans="1:11">
      <c r="A109" s="97"/>
      <c r="B109" s="97"/>
      <c r="C109" s="97"/>
      <c r="D109" s="97"/>
      <c r="E109" s="97"/>
      <c r="F109" s="97"/>
      <c r="G109" s="97"/>
      <c r="H109" s="7"/>
      <c r="I109" s="7"/>
      <c r="J109" s="7"/>
      <c r="K109" s="7"/>
    </row>
    <row r="110" spans="1:11">
      <c r="A110" s="286" t="s">
        <v>507</v>
      </c>
      <c r="B110" s="97"/>
      <c r="C110" s="97"/>
      <c r="D110" s="97"/>
      <c r="E110" s="97"/>
      <c r="F110" s="97"/>
      <c r="G110" s="127" t="s">
        <v>2</v>
      </c>
      <c r="H110" s="127"/>
      <c r="I110" s="7"/>
      <c r="J110" s="7"/>
      <c r="K110" s="7"/>
    </row>
    <row r="111" spans="1:11" ht="13.5" thickBot="1">
      <c r="A111" s="286"/>
      <c r="B111" s="97"/>
      <c r="C111" s="97"/>
      <c r="D111" s="97"/>
      <c r="E111" s="97"/>
      <c r="F111" s="97"/>
      <c r="G111" s="127"/>
      <c r="H111" s="127"/>
      <c r="I111" s="7"/>
      <c r="J111" s="7"/>
      <c r="K111" s="7"/>
    </row>
    <row r="112" spans="1:11">
      <c r="A112" s="286"/>
      <c r="B112" s="97"/>
      <c r="C112" s="267" t="s">
        <v>504</v>
      </c>
      <c r="D112" s="262"/>
      <c r="E112" s="267" t="s">
        <v>505</v>
      </c>
      <c r="F112" s="290"/>
      <c r="G112" s="291" t="s">
        <v>506</v>
      </c>
      <c r="H112" s="28"/>
      <c r="I112" s="127"/>
      <c r="J112" s="7"/>
      <c r="K112" s="7"/>
    </row>
    <row r="113" spans="1:11" ht="13.5" thickBot="1">
      <c r="A113" s="286"/>
      <c r="B113" s="97"/>
      <c r="C113" s="292" t="s">
        <v>108</v>
      </c>
      <c r="D113" s="293" t="s">
        <v>503</v>
      </c>
      <c r="E113" s="292" t="s">
        <v>108</v>
      </c>
      <c r="F113" s="293" t="s">
        <v>503</v>
      </c>
      <c r="G113" s="292" t="s">
        <v>108</v>
      </c>
      <c r="H113" s="293" t="s">
        <v>503</v>
      </c>
      <c r="I113" s="127"/>
      <c r="J113" s="7"/>
      <c r="K113" s="7"/>
    </row>
    <row r="114" spans="1:11" ht="13.5" thickBot="1">
      <c r="A114" s="96"/>
      <c r="B114" s="294" t="s">
        <v>321</v>
      </c>
      <c r="C114" s="295">
        <f>+D88</f>
        <v>2.9665854193515973</v>
      </c>
      <c r="D114" s="296">
        <f>+D88/superficies!D23</f>
        <v>2.7185204301045568E-2</v>
      </c>
      <c r="E114" s="297">
        <f>+D96</f>
        <v>5.9331708387031945</v>
      </c>
      <c r="F114" s="296">
        <f>+D96/superficies!D23</f>
        <v>5.4370408602091136E-2</v>
      </c>
      <c r="G114" s="297">
        <f>+E114+C114</f>
        <v>8.8997562580547918</v>
      </c>
      <c r="H114" s="298">
        <f>+F114+D114</f>
        <v>8.1555612903136704E-2</v>
      </c>
      <c r="I114" s="7"/>
      <c r="J114" s="7"/>
      <c r="K114" s="7"/>
    </row>
    <row r="115" spans="1:11" ht="13.5" thickBot="1">
      <c r="A115" s="97"/>
      <c r="B115" s="299" t="s">
        <v>322</v>
      </c>
      <c r="C115" s="300">
        <f>+D89</f>
        <v>2.5588216879338122</v>
      </c>
      <c r="D115" s="301">
        <f>+D89/superficies!D23</f>
        <v>2.3448537804662658E-2</v>
      </c>
      <c r="E115" s="302">
        <f>+D97</f>
        <v>5.1176433758676243</v>
      </c>
      <c r="F115" s="301">
        <f>+D97/superficies!D23</f>
        <v>4.6897075609325316E-2</v>
      </c>
      <c r="G115" s="297">
        <f>+E115+C115</f>
        <v>7.6764650638014365</v>
      </c>
      <c r="H115" s="303">
        <f>+F115+D115</f>
        <v>7.034561341398797E-2</v>
      </c>
      <c r="I115" s="7"/>
      <c r="J115" s="7"/>
      <c r="K115" s="7"/>
    </row>
    <row r="116" spans="1:11">
      <c r="A116" s="97"/>
      <c r="B116" s="286" t="s">
        <v>509</v>
      </c>
      <c r="C116" s="97"/>
      <c r="D116" s="97"/>
      <c r="E116" s="97"/>
      <c r="F116" s="97"/>
      <c r="G116" s="7"/>
      <c r="H116" s="7"/>
      <c r="I116" s="7"/>
      <c r="J116" s="7"/>
      <c r="K116" s="7"/>
    </row>
    <row r="117" spans="1:11">
      <c r="A117" s="97"/>
      <c r="B117" s="286" t="s">
        <v>510</v>
      </c>
      <c r="C117" s="97"/>
      <c r="D117" s="97"/>
      <c r="E117" s="97"/>
      <c r="F117" s="97"/>
      <c r="G117" s="97"/>
      <c r="H117" s="7"/>
      <c r="I117" s="7"/>
      <c r="J117" s="7"/>
      <c r="K117" s="7"/>
    </row>
    <row r="118" spans="1:11">
      <c r="A118" s="97"/>
      <c r="B118" s="286"/>
      <c r="C118" s="97"/>
      <c r="D118" s="97"/>
      <c r="E118" s="97"/>
      <c r="F118" s="97"/>
      <c r="G118" s="97"/>
      <c r="H118" s="7"/>
      <c r="I118" s="7"/>
      <c r="J118" s="7"/>
      <c r="K118" s="7"/>
    </row>
    <row r="119" spans="1:11">
      <c r="A119" s="97" t="s">
        <v>254</v>
      </c>
      <c r="B119" s="97"/>
      <c r="C119" s="97"/>
      <c r="D119" s="97"/>
      <c r="E119" s="97"/>
      <c r="F119" s="97"/>
      <c r="G119" s="97"/>
      <c r="H119" s="7"/>
      <c r="I119" s="7"/>
      <c r="J119" s="7"/>
      <c r="K119" s="7"/>
    </row>
    <row r="120" spans="1:11">
      <c r="A120" s="97" t="s">
        <v>255</v>
      </c>
      <c r="B120" s="97"/>
      <c r="C120" s="97"/>
      <c r="D120" s="97"/>
      <c r="E120" s="97"/>
      <c r="F120" s="97"/>
      <c r="G120" s="97"/>
      <c r="H120" s="7"/>
      <c r="I120" s="7"/>
      <c r="J120" s="7"/>
      <c r="K120" s="7"/>
    </row>
    <row r="121" spans="1:11" ht="13.5" thickBot="1">
      <c r="A121" s="7"/>
      <c r="B121" s="7"/>
      <c r="C121" s="7"/>
      <c r="D121" s="7"/>
      <c r="E121" s="7"/>
      <c r="F121" s="97"/>
      <c r="G121" s="97"/>
      <c r="H121" s="7"/>
      <c r="I121" s="7"/>
      <c r="J121" s="7"/>
      <c r="K121" s="7"/>
    </row>
    <row r="122" spans="1:11">
      <c r="A122" s="424" t="s">
        <v>618</v>
      </c>
      <c r="B122" s="425"/>
      <c r="C122" s="425"/>
      <c r="D122" s="425"/>
      <c r="E122" s="425"/>
      <c r="F122" s="426"/>
      <c r="G122" s="426"/>
      <c r="H122" s="425"/>
      <c r="I122" s="425"/>
      <c r="J122" s="425"/>
      <c r="K122" s="430"/>
    </row>
    <row r="123" spans="1:11" ht="13.5" thickBot="1">
      <c r="A123" s="427" t="s">
        <v>619</v>
      </c>
      <c r="B123" s="428"/>
      <c r="C123" s="429"/>
      <c r="D123" s="429"/>
      <c r="E123" s="429"/>
      <c r="F123" s="429"/>
      <c r="G123" s="429"/>
      <c r="H123" s="429"/>
      <c r="I123" s="429"/>
      <c r="J123" s="429"/>
      <c r="K123" s="43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</dc:creator>
  <cp:lastModifiedBy>Usuario</cp:lastModifiedBy>
  <cp:lastPrinted>2020-07-31T20:16:15Z</cp:lastPrinted>
  <dcterms:created xsi:type="dcterms:W3CDTF">2000-05-22T21:06:38Z</dcterms:created>
  <dcterms:modified xsi:type="dcterms:W3CDTF">2024-07-29T23:35:34Z</dcterms:modified>
</cp:coreProperties>
</file>