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harts/chart1.xml" ContentType="application/vnd.openxmlformats-officedocument.drawingml.chart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2.xml" ContentType="application/vnd.openxmlformats-officedocument.drawingml.chart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omments5.xml" ContentType="application/vnd.openxmlformats-officedocument.spreadsheetml.comments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 codeName="ThisWorkbook"/>
  <mc:AlternateContent xmlns:mc="http://schemas.openxmlformats.org/markup-compatibility/2006">
    <mc:Choice Requires="x15">
      <x15ac:absPath xmlns:x15ac="http://schemas.microsoft.com/office/spreadsheetml/2010/11/ac" url="D:\prog bal termimco\"/>
    </mc:Choice>
  </mc:AlternateContent>
  <xr:revisionPtr revIDLastSave="0" documentId="13_ncr:1_{E1B1B445-9604-4242-ABDC-A0BD9776EE36}" xr6:coauthVersionLast="36" xr6:coauthVersionMax="47" xr10:uidLastSave="{00000000-0000-0000-0000-000000000000}"/>
  <bookViews>
    <workbookView xWindow="-120" yWindow="-120" windowWidth="24240" windowHeight="17640" tabRatio="819" xr2:uid="{00000000-000D-0000-FFFF-FFFF00000000}"/>
  </bookViews>
  <sheets>
    <sheet name="Lugar" sheetId="1" r:id="rId1"/>
    <sheet name="superficies" sheetId="2" r:id="rId2"/>
    <sheet name="Balance calefacción" sheetId="3" r:id="rId3"/>
    <sheet name="K comp" sheetId="4" r:id="rId4"/>
    <sheet name="mensual" sheetId="5" state="veryHidden" r:id="rId5"/>
    <sheet name="Balance enfriamiento" sheetId="6" r:id="rId6"/>
    <sheet name="Enf. convectivo nocturno" sheetId="11" r:id="rId7"/>
    <sheet name="Masa Térmica" sheetId="7" r:id="rId8"/>
    <sheet name="Ventilación natural" sheetId="8" r:id="rId9"/>
    <sheet name="Acumuación" sheetId="9" state="veryHidden" r:id="rId10"/>
    <sheet name="Resumen" sheetId="12" r:id="rId11"/>
  </sheets>
  <externalReferences>
    <externalReference r:id="rId12"/>
  </externalReferences>
  <definedNames>
    <definedName name="_xlnm._FilterDatabase" localSheetId="2" hidden="1">'Balance calefacción'!$L$15:$O$27</definedName>
  </definedNames>
  <calcPr calcId="179021"/>
</workbook>
</file>

<file path=xl/calcChain.xml><?xml version="1.0" encoding="utf-8"?>
<calcChain xmlns="http://schemas.openxmlformats.org/spreadsheetml/2006/main">
  <c r="E215" i="6" l="1"/>
  <c r="E214" i="6"/>
  <c r="E213" i="6"/>
  <c r="E212" i="6"/>
  <c r="E211" i="6"/>
  <c r="E210" i="6"/>
  <c r="E209" i="6"/>
  <c r="E208" i="6"/>
  <c r="E207" i="6"/>
  <c r="E206" i="6"/>
  <c r="E205" i="6"/>
  <c r="E204" i="6"/>
  <c r="E67" i="2" l="1"/>
  <c r="D15" i="2"/>
  <c r="D14" i="2"/>
  <c r="D13" i="2"/>
  <c r="D12" i="2"/>
  <c r="D11" i="2"/>
  <c r="D10" i="2"/>
  <c r="D9" i="2"/>
  <c r="D8" i="2"/>
  <c r="E99" i="12"/>
  <c r="G99" i="12" s="1"/>
  <c r="D160" i="6"/>
  <c r="D159" i="6"/>
  <c r="D158" i="6"/>
  <c r="D157" i="6"/>
  <c r="D156" i="6"/>
  <c r="D155" i="6"/>
  <c r="D154" i="6"/>
  <c r="D153" i="6"/>
  <c r="D152" i="6"/>
  <c r="D151" i="6"/>
  <c r="D150" i="6"/>
  <c r="D149" i="6"/>
  <c r="E184" i="6"/>
  <c r="E183" i="6"/>
  <c r="E182" i="6"/>
  <c r="E181" i="6"/>
  <c r="E180" i="6"/>
  <c r="E179" i="6"/>
  <c r="E178" i="6"/>
  <c r="E177" i="6"/>
  <c r="E176" i="6"/>
  <c r="E175" i="6"/>
  <c r="E174" i="6"/>
  <c r="C184" i="6"/>
  <c r="C183" i="6"/>
  <c r="C182" i="6"/>
  <c r="C181" i="6"/>
  <c r="C180" i="6"/>
  <c r="C179" i="6"/>
  <c r="C178" i="6"/>
  <c r="C177" i="6"/>
  <c r="C176" i="6"/>
  <c r="C175" i="6"/>
  <c r="C174" i="6"/>
  <c r="I215" i="6"/>
  <c r="I214" i="6"/>
  <c r="I213" i="6"/>
  <c r="I212" i="6"/>
  <c r="I211" i="6"/>
  <c r="I210" i="6"/>
  <c r="I209" i="6"/>
  <c r="I208" i="6"/>
  <c r="I207" i="6"/>
  <c r="I206" i="6"/>
  <c r="I205" i="6"/>
  <c r="I204" i="6"/>
  <c r="G215" i="6"/>
  <c r="G214" i="6"/>
  <c r="G213" i="6"/>
  <c r="G212" i="6"/>
  <c r="G211" i="6"/>
  <c r="G210" i="6"/>
  <c r="G209" i="6"/>
  <c r="G208" i="6"/>
  <c r="G207" i="6"/>
  <c r="G206" i="6"/>
  <c r="G205" i="6"/>
  <c r="G204" i="6"/>
  <c r="C215" i="6"/>
  <c r="C214" i="6"/>
  <c r="C213" i="6"/>
  <c r="C212" i="6"/>
  <c r="C211" i="6"/>
  <c r="C210" i="6"/>
  <c r="C209" i="6"/>
  <c r="C208" i="6"/>
  <c r="C207" i="6"/>
  <c r="C206" i="6"/>
  <c r="C205" i="6"/>
  <c r="C204" i="6"/>
  <c r="D23" i="2" l="1"/>
  <c r="D21" i="2"/>
  <c r="D18" i="2"/>
  <c r="D22" i="2" l="1"/>
  <c r="I21" i="7"/>
  <c r="G62" i="12"/>
  <c r="F52" i="12"/>
  <c r="F51" i="12"/>
  <c r="F50" i="12"/>
  <c r="F49" i="12"/>
  <c r="F48" i="12"/>
  <c r="C4" i="12"/>
  <c r="D98" i="12"/>
  <c r="D97" i="12"/>
  <c r="G84" i="12"/>
  <c r="G83" i="12"/>
  <c r="G82" i="12"/>
  <c r="C13" i="12"/>
  <c r="H12" i="12"/>
  <c r="H11" i="12"/>
  <c r="H10" i="12"/>
  <c r="C10" i="12"/>
  <c r="B122" i="6" l="1"/>
  <c r="B123" i="6" s="1"/>
  <c r="B124" i="6" s="1"/>
  <c r="B125" i="6" s="1"/>
  <c r="B126" i="6" s="1"/>
  <c r="B127" i="6" s="1"/>
  <c r="B128" i="6" s="1"/>
  <c r="B129" i="6" s="1"/>
  <c r="B130" i="6" s="1"/>
  <c r="B131" i="6" s="1"/>
  <c r="B132" i="6" s="1"/>
  <c r="B133" i="6" s="1"/>
  <c r="B72" i="4" l="1"/>
  <c r="B75" i="4" s="1"/>
  <c r="B66" i="4"/>
  <c r="B70" i="4" s="1"/>
  <c r="B60" i="4"/>
  <c r="B61" i="4" s="1"/>
  <c r="B54" i="4"/>
  <c r="B58" i="4" s="1"/>
  <c r="B48" i="4"/>
  <c r="B51" i="4" s="1"/>
  <c r="B42" i="4"/>
  <c r="B46" i="4" s="1"/>
  <c r="B36" i="4"/>
  <c r="B37" i="4" s="1"/>
  <c r="B31" i="4"/>
  <c r="B28" i="4"/>
  <c r="B32" i="4" s="1"/>
  <c r="B22" i="4"/>
  <c r="B25" i="4" s="1"/>
  <c r="B16" i="4"/>
  <c r="B20" i="4" s="1"/>
  <c r="B10" i="4"/>
  <c r="B11" i="4" s="1"/>
  <c r="B19" i="4" l="1"/>
  <c r="B30" i="4"/>
  <c r="B69" i="4"/>
  <c r="B12" i="4"/>
  <c r="B55" i="4"/>
  <c r="B56" i="4"/>
  <c r="B17" i="4"/>
  <c r="B38" i="4"/>
  <c r="B57" i="4"/>
  <c r="B43" i="4"/>
  <c r="B62" i="4"/>
  <c r="B45" i="4"/>
  <c r="B29" i="4"/>
  <c r="B67" i="4"/>
  <c r="B26" i="4"/>
  <c r="B52" i="4"/>
  <c r="B76" i="4"/>
  <c r="B13" i="4"/>
  <c r="B18" i="4"/>
  <c r="B23" i="4"/>
  <c r="B39" i="4"/>
  <c r="B44" i="4"/>
  <c r="B49" i="4"/>
  <c r="B63" i="4"/>
  <c r="B68" i="4"/>
  <c r="B73" i="4"/>
  <c r="B24" i="4"/>
  <c r="B74" i="4"/>
  <c r="B14" i="4"/>
  <c r="B40" i="4"/>
  <c r="B50" i="4"/>
  <c r="B64" i="4"/>
  <c r="E25" i="11"/>
  <c r="N144" i="5" l="1"/>
  <c r="N162" i="5"/>
  <c r="N180" i="5"/>
  <c r="W56" i="5" l="1"/>
  <c r="W55" i="5"/>
  <c r="W54" i="5"/>
  <c r="W53" i="5"/>
  <c r="W52" i="5"/>
  <c r="W51" i="5"/>
  <c r="W50" i="5"/>
  <c r="T56" i="5"/>
  <c r="T55" i="5"/>
  <c r="T54" i="5"/>
  <c r="T53" i="5"/>
  <c r="T52" i="5"/>
  <c r="T51" i="5"/>
  <c r="T50" i="5"/>
  <c r="W49" i="5"/>
  <c r="T49" i="5"/>
  <c r="M55" i="5" l="1"/>
  <c r="L55" i="5"/>
  <c r="K55" i="5"/>
  <c r="J55" i="5"/>
  <c r="I55" i="5"/>
  <c r="H55" i="5"/>
  <c r="G55" i="5"/>
  <c r="F55" i="5"/>
  <c r="E55" i="5"/>
  <c r="D55" i="5"/>
  <c r="C55" i="5"/>
  <c r="B55" i="5"/>
  <c r="M54" i="5"/>
  <c r="L54" i="5"/>
  <c r="K54" i="5"/>
  <c r="J54" i="5"/>
  <c r="I54" i="5"/>
  <c r="H54" i="5"/>
  <c r="G54" i="5"/>
  <c r="F54" i="5"/>
  <c r="E54" i="5"/>
  <c r="D54" i="5"/>
  <c r="C54" i="5"/>
  <c r="B54" i="5"/>
  <c r="M53" i="5"/>
  <c r="L53" i="5"/>
  <c r="K53" i="5"/>
  <c r="J53" i="5"/>
  <c r="I53" i="5"/>
  <c r="H53" i="5"/>
  <c r="G53" i="5"/>
  <c r="F53" i="5"/>
  <c r="E53" i="5"/>
  <c r="D53" i="5"/>
  <c r="C53" i="5"/>
  <c r="B53" i="5"/>
  <c r="M52" i="5"/>
  <c r="L52" i="5"/>
  <c r="K52" i="5"/>
  <c r="J52" i="5"/>
  <c r="I52" i="5"/>
  <c r="H52" i="5"/>
  <c r="G52" i="5"/>
  <c r="F52" i="5"/>
  <c r="E52" i="5"/>
  <c r="D52" i="5"/>
  <c r="C52" i="5"/>
  <c r="B52" i="5"/>
  <c r="M76" i="5"/>
  <c r="L76" i="5"/>
  <c r="K76" i="5"/>
  <c r="J76" i="5"/>
  <c r="I76" i="5"/>
  <c r="H76" i="5"/>
  <c r="G76" i="5"/>
  <c r="F76" i="5"/>
  <c r="E76" i="5"/>
  <c r="D76" i="5"/>
  <c r="C76" i="5"/>
  <c r="B76" i="5"/>
  <c r="M75" i="5"/>
  <c r="L75" i="5"/>
  <c r="K75" i="5"/>
  <c r="J75" i="5"/>
  <c r="I75" i="5"/>
  <c r="H75" i="5"/>
  <c r="G75" i="5"/>
  <c r="F75" i="5"/>
  <c r="E75" i="5"/>
  <c r="D75" i="5"/>
  <c r="C75" i="5"/>
  <c r="B75" i="5"/>
  <c r="M74" i="5"/>
  <c r="L74" i="5"/>
  <c r="K74" i="5"/>
  <c r="J74" i="5"/>
  <c r="I74" i="5"/>
  <c r="H74" i="5"/>
  <c r="G74" i="5"/>
  <c r="F74" i="5"/>
  <c r="E74" i="5"/>
  <c r="D74" i="5"/>
  <c r="C74" i="5"/>
  <c r="B74" i="5"/>
  <c r="M73" i="5"/>
  <c r="L73" i="5"/>
  <c r="K73" i="5"/>
  <c r="J73" i="5"/>
  <c r="I73" i="5"/>
  <c r="H73" i="5"/>
  <c r="G73" i="5"/>
  <c r="F73" i="5"/>
  <c r="E73" i="5"/>
  <c r="D73" i="5"/>
  <c r="C73" i="5"/>
  <c r="B73" i="5"/>
  <c r="M95" i="5"/>
  <c r="L95" i="5"/>
  <c r="K95" i="5"/>
  <c r="J95" i="5"/>
  <c r="I95" i="5"/>
  <c r="H95" i="5"/>
  <c r="G95" i="5"/>
  <c r="F95" i="5"/>
  <c r="E95" i="5"/>
  <c r="D95" i="5"/>
  <c r="C95" i="5"/>
  <c r="B95" i="5"/>
  <c r="M94" i="5"/>
  <c r="L94" i="5"/>
  <c r="K94" i="5"/>
  <c r="J94" i="5"/>
  <c r="I94" i="5"/>
  <c r="H94" i="5"/>
  <c r="G94" i="5"/>
  <c r="F94" i="5"/>
  <c r="E94" i="5"/>
  <c r="D94" i="5"/>
  <c r="C94" i="5"/>
  <c r="B94" i="5"/>
  <c r="M93" i="5"/>
  <c r="L93" i="5"/>
  <c r="K93" i="5"/>
  <c r="J93" i="5"/>
  <c r="I93" i="5"/>
  <c r="H93" i="5"/>
  <c r="G93" i="5"/>
  <c r="F93" i="5"/>
  <c r="E93" i="5"/>
  <c r="D93" i="5"/>
  <c r="C93" i="5"/>
  <c r="B93" i="5"/>
  <c r="M92" i="5"/>
  <c r="L92" i="5"/>
  <c r="K92" i="5"/>
  <c r="J92" i="5"/>
  <c r="I92" i="5"/>
  <c r="H92" i="5"/>
  <c r="G92" i="5"/>
  <c r="F92" i="5"/>
  <c r="E92" i="5"/>
  <c r="D92" i="5"/>
  <c r="C92" i="5"/>
  <c r="B92" i="5"/>
  <c r="M113" i="5"/>
  <c r="L113" i="5"/>
  <c r="K113" i="5"/>
  <c r="J113" i="5"/>
  <c r="I113" i="5"/>
  <c r="H113" i="5"/>
  <c r="G113" i="5"/>
  <c r="F113" i="5"/>
  <c r="E113" i="5"/>
  <c r="D113" i="5"/>
  <c r="C113" i="5"/>
  <c r="B113" i="5"/>
  <c r="M112" i="5"/>
  <c r="L112" i="5"/>
  <c r="K112" i="5"/>
  <c r="J112" i="5"/>
  <c r="I112" i="5"/>
  <c r="H112" i="5"/>
  <c r="G112" i="5"/>
  <c r="F112" i="5"/>
  <c r="E112" i="5"/>
  <c r="D112" i="5"/>
  <c r="C112" i="5"/>
  <c r="B112" i="5"/>
  <c r="M111" i="5"/>
  <c r="L111" i="5"/>
  <c r="K111" i="5"/>
  <c r="J111" i="5"/>
  <c r="I111" i="5"/>
  <c r="H111" i="5"/>
  <c r="G111" i="5"/>
  <c r="F111" i="5"/>
  <c r="E111" i="5"/>
  <c r="D111" i="5"/>
  <c r="C111" i="5"/>
  <c r="B111" i="5"/>
  <c r="M110" i="5"/>
  <c r="L110" i="5"/>
  <c r="K110" i="5"/>
  <c r="J110" i="5"/>
  <c r="I110" i="5"/>
  <c r="H110" i="5"/>
  <c r="G110" i="5"/>
  <c r="F110" i="5"/>
  <c r="E110" i="5"/>
  <c r="D110" i="5"/>
  <c r="C110" i="5"/>
  <c r="B110" i="5"/>
  <c r="M131" i="5"/>
  <c r="L131" i="5"/>
  <c r="K131" i="5"/>
  <c r="J131" i="5"/>
  <c r="I131" i="5"/>
  <c r="H131" i="5"/>
  <c r="G131" i="5"/>
  <c r="F131" i="5"/>
  <c r="E131" i="5"/>
  <c r="D131" i="5"/>
  <c r="C131" i="5"/>
  <c r="B131" i="5"/>
  <c r="M130" i="5"/>
  <c r="L130" i="5"/>
  <c r="K130" i="5"/>
  <c r="J130" i="5"/>
  <c r="I130" i="5"/>
  <c r="H130" i="5"/>
  <c r="G130" i="5"/>
  <c r="F130" i="5"/>
  <c r="E130" i="5"/>
  <c r="D130" i="5"/>
  <c r="C130" i="5"/>
  <c r="B130" i="5"/>
  <c r="M129" i="5"/>
  <c r="L129" i="5"/>
  <c r="K129" i="5"/>
  <c r="J129" i="5"/>
  <c r="I129" i="5"/>
  <c r="H129" i="5"/>
  <c r="G129" i="5"/>
  <c r="F129" i="5"/>
  <c r="E129" i="5"/>
  <c r="D129" i="5"/>
  <c r="C129" i="5"/>
  <c r="B129" i="5"/>
  <c r="M128" i="5"/>
  <c r="L128" i="5"/>
  <c r="K128" i="5"/>
  <c r="J128" i="5"/>
  <c r="I128" i="5"/>
  <c r="H128" i="5"/>
  <c r="G128" i="5"/>
  <c r="F128" i="5"/>
  <c r="E128" i="5"/>
  <c r="D128" i="5"/>
  <c r="C128" i="5"/>
  <c r="B128" i="5"/>
  <c r="M150" i="5"/>
  <c r="L150" i="5"/>
  <c r="K150" i="5"/>
  <c r="J150" i="5"/>
  <c r="I150" i="5"/>
  <c r="H150" i="5"/>
  <c r="G150" i="5"/>
  <c r="F150" i="5"/>
  <c r="E150" i="5"/>
  <c r="D150" i="5"/>
  <c r="C150" i="5"/>
  <c r="B150" i="5"/>
  <c r="M149" i="5"/>
  <c r="L149" i="5"/>
  <c r="K149" i="5"/>
  <c r="J149" i="5"/>
  <c r="I149" i="5"/>
  <c r="H149" i="5"/>
  <c r="G149" i="5"/>
  <c r="F149" i="5"/>
  <c r="E149" i="5"/>
  <c r="D149" i="5"/>
  <c r="C149" i="5"/>
  <c r="B149" i="5"/>
  <c r="M148" i="5"/>
  <c r="L148" i="5"/>
  <c r="K148" i="5"/>
  <c r="J148" i="5"/>
  <c r="I148" i="5"/>
  <c r="H148" i="5"/>
  <c r="G148" i="5"/>
  <c r="F148" i="5"/>
  <c r="E148" i="5"/>
  <c r="D148" i="5"/>
  <c r="C148" i="5"/>
  <c r="B148" i="5"/>
  <c r="M147" i="5"/>
  <c r="L147" i="5"/>
  <c r="K147" i="5"/>
  <c r="J147" i="5"/>
  <c r="I147" i="5"/>
  <c r="H147" i="5"/>
  <c r="G147" i="5"/>
  <c r="F147" i="5"/>
  <c r="E147" i="5"/>
  <c r="D147" i="5"/>
  <c r="C147" i="5"/>
  <c r="B147" i="5"/>
  <c r="M165" i="5"/>
  <c r="M168" i="5"/>
  <c r="L168" i="5"/>
  <c r="K168" i="5"/>
  <c r="J168" i="5"/>
  <c r="I168" i="5"/>
  <c r="H168" i="5"/>
  <c r="G168" i="5"/>
  <c r="F168" i="5"/>
  <c r="E168" i="5"/>
  <c r="D168" i="5"/>
  <c r="C168" i="5"/>
  <c r="B168" i="5"/>
  <c r="M167" i="5"/>
  <c r="L167" i="5"/>
  <c r="K167" i="5"/>
  <c r="J167" i="5"/>
  <c r="I167" i="5"/>
  <c r="H167" i="5"/>
  <c r="G167" i="5"/>
  <c r="F167" i="5"/>
  <c r="E167" i="5"/>
  <c r="D167" i="5"/>
  <c r="C167" i="5"/>
  <c r="B167" i="5"/>
  <c r="M166" i="5"/>
  <c r="L166" i="5"/>
  <c r="K166" i="5"/>
  <c r="J166" i="5"/>
  <c r="I166" i="5"/>
  <c r="H166" i="5"/>
  <c r="G166" i="5"/>
  <c r="F166" i="5"/>
  <c r="E166" i="5"/>
  <c r="D166" i="5"/>
  <c r="C166" i="5"/>
  <c r="B166" i="5"/>
  <c r="L165" i="5"/>
  <c r="K165" i="5"/>
  <c r="J165" i="5"/>
  <c r="I165" i="5"/>
  <c r="H165" i="5"/>
  <c r="G165" i="5"/>
  <c r="F165" i="5"/>
  <c r="E165" i="5"/>
  <c r="D165" i="5"/>
  <c r="C165" i="5"/>
  <c r="B165" i="5"/>
  <c r="M186" i="5" l="1"/>
  <c r="L186" i="5"/>
  <c r="K186" i="5"/>
  <c r="J186" i="5"/>
  <c r="I186" i="5"/>
  <c r="H186" i="5"/>
  <c r="G186" i="5"/>
  <c r="F186" i="5"/>
  <c r="E186" i="5"/>
  <c r="D186" i="5"/>
  <c r="C186" i="5"/>
  <c r="B186" i="5"/>
  <c r="M185" i="5"/>
  <c r="L185" i="5"/>
  <c r="K185" i="5"/>
  <c r="J185" i="5"/>
  <c r="I185" i="5"/>
  <c r="H185" i="5"/>
  <c r="G185" i="5"/>
  <c r="F185" i="5"/>
  <c r="E185" i="5"/>
  <c r="D185" i="5"/>
  <c r="C185" i="5"/>
  <c r="B185" i="5"/>
  <c r="M184" i="5"/>
  <c r="L184" i="5"/>
  <c r="K184" i="5"/>
  <c r="J184" i="5"/>
  <c r="I184" i="5"/>
  <c r="H184" i="5"/>
  <c r="G184" i="5"/>
  <c r="F184" i="5"/>
  <c r="E184" i="5"/>
  <c r="D184" i="5"/>
  <c r="C184" i="5"/>
  <c r="B184" i="5"/>
  <c r="M183" i="5"/>
  <c r="L183" i="5"/>
  <c r="K183" i="5"/>
  <c r="J183" i="5"/>
  <c r="I183" i="5"/>
  <c r="H183" i="5"/>
  <c r="G183" i="5"/>
  <c r="F183" i="5"/>
  <c r="E183" i="5"/>
  <c r="D183" i="5"/>
  <c r="C183" i="5"/>
  <c r="B183" i="5"/>
  <c r="N107" i="5" l="1"/>
  <c r="E60" i="8" l="1"/>
  <c r="E62" i="8" s="1"/>
  <c r="E38" i="8"/>
  <c r="E34" i="11"/>
  <c r="E49" i="11"/>
  <c r="E67" i="11"/>
  <c r="E69" i="11" s="1"/>
  <c r="E68" i="11"/>
  <c r="I22" i="7"/>
  <c r="E61" i="8" l="1"/>
  <c r="G12" i="2"/>
  <c r="F10" i="2"/>
  <c r="E72" i="11" l="1"/>
  <c r="E73" i="11" l="1"/>
  <c r="M25" i="4"/>
  <c r="O21" i="4"/>
  <c r="O20" i="4"/>
  <c r="O19" i="4"/>
  <c r="O18" i="4"/>
  <c r="O17" i="4"/>
  <c r="O16" i="4"/>
  <c r="O15" i="4"/>
  <c r="C124" i="4"/>
  <c r="O22" i="4" l="1"/>
  <c r="M27" i="4" s="1"/>
  <c r="M28" i="4" s="1"/>
  <c r="AC28" i="3" l="1"/>
  <c r="E64" i="2"/>
  <c r="E65" i="2"/>
  <c r="E68" i="2"/>
  <c r="E69" i="2"/>
  <c r="M10" i="3" l="1"/>
  <c r="M36" i="3" s="1"/>
  <c r="G41" i="12" s="1"/>
  <c r="G10" i="2"/>
  <c r="E98" i="12" l="1"/>
  <c r="G98" i="12" s="1"/>
  <c r="D113" i="6"/>
  <c r="C62" i="6"/>
  <c r="C89" i="6" s="1"/>
  <c r="C107" i="6" s="1"/>
  <c r="J247" i="6"/>
  <c r="F63" i="6"/>
  <c r="D63" i="6"/>
  <c r="B63" i="6"/>
  <c r="H63" i="6"/>
  <c r="I63" i="6"/>
  <c r="G63" i="6"/>
  <c r="C63" i="6"/>
  <c r="E63" i="6"/>
  <c r="I62" i="6"/>
  <c r="I89" i="6" s="1"/>
  <c r="I107" i="6" s="1"/>
  <c r="H62" i="6"/>
  <c r="H89" i="6" s="1"/>
  <c r="H107" i="6" s="1"/>
  <c r="G62" i="6"/>
  <c r="G89" i="6" s="1"/>
  <c r="G107" i="6" s="1"/>
  <c r="F62" i="6"/>
  <c r="E62" i="6"/>
  <c r="E89" i="6" s="1"/>
  <c r="E107" i="6" s="1"/>
  <c r="D62" i="6"/>
  <c r="D89" i="6" s="1"/>
  <c r="D107" i="6" s="1"/>
  <c r="B62" i="6"/>
  <c r="B89" i="6" s="1"/>
  <c r="B107" i="6" s="1"/>
  <c r="J36" i="6"/>
  <c r="J35" i="6"/>
  <c r="J11" i="6"/>
  <c r="B35" i="6"/>
  <c r="D35" i="6"/>
  <c r="F35" i="6"/>
  <c r="H35" i="6"/>
  <c r="J12" i="6"/>
  <c r="I12" i="6"/>
  <c r="H12" i="6"/>
  <c r="G12" i="6"/>
  <c r="F12" i="6"/>
  <c r="E12" i="6"/>
  <c r="D12" i="6"/>
  <c r="C12" i="6"/>
  <c r="B12" i="6"/>
  <c r="F11" i="6"/>
  <c r="B11" i="6"/>
  <c r="D11" i="6"/>
  <c r="H11" i="6"/>
  <c r="F16" i="3"/>
  <c r="C16" i="3"/>
  <c r="C14" i="3"/>
  <c r="F14" i="3" s="1"/>
  <c r="C13" i="3"/>
  <c r="C12" i="3"/>
  <c r="F12" i="3" s="1"/>
  <c r="J211" i="6"/>
  <c r="L254" i="6" s="1"/>
  <c r="J258" i="6"/>
  <c r="J257" i="6"/>
  <c r="J256" i="6"/>
  <c r="J255" i="6"/>
  <c r="J254" i="6"/>
  <c r="J253" i="6"/>
  <c r="J252" i="6"/>
  <c r="J251" i="6"/>
  <c r="J249" i="6"/>
  <c r="D115" i="6"/>
  <c r="F89" i="6"/>
  <c r="F107" i="6" s="1"/>
  <c r="C221" i="4"/>
  <c r="C220" i="4"/>
  <c r="C219" i="4"/>
  <c r="C218" i="4"/>
  <c r="C216" i="4"/>
  <c r="C215" i="4"/>
  <c r="C214" i="4"/>
  <c r="C212" i="4"/>
  <c r="C211" i="4"/>
  <c r="C210" i="4"/>
  <c r="C208" i="4"/>
  <c r="C207" i="4"/>
  <c r="C206" i="4"/>
  <c r="D205" i="4"/>
  <c r="C205" i="4"/>
  <c r="C204" i="4"/>
  <c r="C203" i="4"/>
  <c r="C202" i="4"/>
  <c r="C201" i="4"/>
  <c r="C200" i="4"/>
  <c r="C199" i="4"/>
  <c r="C197" i="4"/>
  <c r="C196" i="4"/>
  <c r="C195" i="4"/>
  <c r="C194" i="4"/>
  <c r="C123" i="4"/>
  <c r="C122" i="4"/>
  <c r="C72" i="4"/>
  <c r="C66" i="4"/>
  <c r="C60" i="4"/>
  <c r="C54" i="4"/>
  <c r="C48" i="4"/>
  <c r="C42" i="4"/>
  <c r="C40" i="4"/>
  <c r="C39" i="4"/>
  <c r="C38" i="4"/>
  <c r="C37" i="4"/>
  <c r="C36" i="4"/>
  <c r="C28" i="4"/>
  <c r="C26" i="4"/>
  <c r="J21" i="4"/>
  <c r="J20" i="4"/>
  <c r="J19" i="4"/>
  <c r="C19" i="4"/>
  <c r="J18" i="4"/>
  <c r="J17" i="4"/>
  <c r="C14" i="4"/>
  <c r="J16" i="4"/>
  <c r="J15" i="4"/>
  <c r="C11" i="4"/>
  <c r="C13" i="4"/>
  <c r="X19" i="3"/>
  <c r="AA19" i="3" s="1"/>
  <c r="X18" i="3"/>
  <c r="AA18" i="3" s="1"/>
  <c r="F13" i="3"/>
  <c r="H23" i="2"/>
  <c r="E50" i="2" s="1"/>
  <c r="H18" i="2"/>
  <c r="F15" i="2"/>
  <c r="H15" i="2" s="1"/>
  <c r="F14" i="2"/>
  <c r="F13" i="2"/>
  <c r="F11" i="2"/>
  <c r="F9" i="2"/>
  <c r="H9" i="2" s="1"/>
  <c r="F8" i="2"/>
  <c r="A66" i="1"/>
  <c r="A67" i="1" s="1"/>
  <c r="A68" i="1" s="1"/>
  <c r="H22" i="2" l="1"/>
  <c r="C17" i="3"/>
  <c r="F17" i="3" s="1"/>
  <c r="E22" i="8"/>
  <c r="E24" i="8" s="1"/>
  <c r="E33" i="11"/>
  <c r="E35" i="11" s="1"/>
  <c r="J207" i="6"/>
  <c r="L250" i="6" s="1"/>
  <c r="J215" i="6"/>
  <c r="L258" i="6" s="1"/>
  <c r="J250" i="6"/>
  <c r="D162" i="6"/>
  <c r="F22" i="6"/>
  <c r="D28" i="6"/>
  <c r="B20" i="6"/>
  <c r="J209" i="6"/>
  <c r="L252" i="6" s="1"/>
  <c r="J205" i="6"/>
  <c r="L248" i="6" s="1"/>
  <c r="J213" i="6"/>
  <c r="L256" i="6" s="1"/>
  <c r="J212" i="6"/>
  <c r="L255" i="6" s="1"/>
  <c r="F177" i="6"/>
  <c r="K250" i="6" s="1"/>
  <c r="F179" i="6"/>
  <c r="K252" i="6" s="1"/>
  <c r="F181" i="6"/>
  <c r="K254" i="6" s="1"/>
  <c r="AC254" i="6" s="1"/>
  <c r="J204" i="6"/>
  <c r="L247" i="6" s="1"/>
  <c r="J248" i="6"/>
  <c r="F178" i="6"/>
  <c r="K251" i="6" s="1"/>
  <c r="F182" i="6"/>
  <c r="K255" i="6" s="1"/>
  <c r="F29" i="6"/>
  <c r="F183" i="6"/>
  <c r="K256" i="6" s="1"/>
  <c r="H29" i="6"/>
  <c r="J22" i="4"/>
  <c r="H19" i="6"/>
  <c r="H23" i="6"/>
  <c r="A69" i="1"/>
  <c r="H46" i="6"/>
  <c r="B53" i="6"/>
  <c r="F51" i="6"/>
  <c r="F19" i="6"/>
  <c r="H22" i="6"/>
  <c r="H20" i="6"/>
  <c r="H24" i="6"/>
  <c r="H18" i="6"/>
  <c r="H26" i="6"/>
  <c r="B24" i="6"/>
  <c r="D21" i="6"/>
  <c r="D23" i="6"/>
  <c r="D25" i="6"/>
  <c r="D26" i="6"/>
  <c r="D18" i="6"/>
  <c r="D22" i="6"/>
  <c r="D20" i="6"/>
  <c r="D24" i="6"/>
  <c r="D27" i="6"/>
  <c r="D19" i="6"/>
  <c r="H41" i="2"/>
  <c r="G44" i="2"/>
  <c r="K23" i="6"/>
  <c r="D252" i="6" s="1"/>
  <c r="F41" i="2"/>
  <c r="F44" i="2"/>
  <c r="F47" i="2"/>
  <c r="F42" i="2"/>
  <c r="D50" i="2"/>
  <c r="D43" i="2"/>
  <c r="G40" i="2"/>
  <c r="F40" i="2"/>
  <c r="D45" i="2"/>
  <c r="F46" i="2"/>
  <c r="H50" i="2"/>
  <c r="D41" i="2"/>
  <c r="D47" i="2"/>
  <c r="F176" i="6"/>
  <c r="K249" i="6" s="1"/>
  <c r="H25" i="6"/>
  <c r="K52" i="6"/>
  <c r="E257" i="6" s="1"/>
  <c r="F184" i="6"/>
  <c r="K257" i="6" s="1"/>
  <c r="J206" i="6"/>
  <c r="L249" i="6" s="1"/>
  <c r="AC249" i="6" s="1"/>
  <c r="J208" i="6"/>
  <c r="L251" i="6" s="1"/>
  <c r="J210" i="6"/>
  <c r="L253" i="6" s="1"/>
  <c r="J214" i="6"/>
  <c r="L257" i="6" s="1"/>
  <c r="H21" i="6"/>
  <c r="B43" i="6"/>
  <c r="J107" i="6"/>
  <c r="G258" i="6" s="1"/>
  <c r="F175" i="6"/>
  <c r="K248" i="6" s="1"/>
  <c r="B42" i="6"/>
  <c r="F43" i="6"/>
  <c r="F45" i="6"/>
  <c r="H48" i="6"/>
  <c r="H53" i="6"/>
  <c r="H49" i="6"/>
  <c r="D52" i="6"/>
  <c r="K45" i="6"/>
  <c r="E250" i="6" s="1"/>
  <c r="K49" i="6"/>
  <c r="E254" i="6" s="1"/>
  <c r="K53" i="6"/>
  <c r="E258" i="6" s="1"/>
  <c r="K21" i="6"/>
  <c r="D250" i="6" s="1"/>
  <c r="K26" i="6"/>
  <c r="D255" i="6" s="1"/>
  <c r="K29" i="6"/>
  <c r="D258" i="6" s="1"/>
  <c r="B96" i="6"/>
  <c r="F96" i="6"/>
  <c r="B97" i="6"/>
  <c r="F97" i="6"/>
  <c r="B98" i="6"/>
  <c r="F98" i="6"/>
  <c r="B99" i="6"/>
  <c r="F99" i="6"/>
  <c r="B100" i="6"/>
  <c r="F100" i="6"/>
  <c r="B101" i="6"/>
  <c r="F101" i="6"/>
  <c r="B102" i="6"/>
  <c r="F102" i="6"/>
  <c r="B103" i="6"/>
  <c r="F103" i="6"/>
  <c r="B104" i="6"/>
  <c r="F104" i="6"/>
  <c r="B105" i="6"/>
  <c r="F105" i="6"/>
  <c r="B106" i="6"/>
  <c r="F106" i="6"/>
  <c r="F174" i="6"/>
  <c r="K247" i="6" s="1"/>
  <c r="F180" i="6"/>
  <c r="K253" i="6" s="1"/>
  <c r="B46" i="6"/>
  <c r="B47" i="6"/>
  <c r="K46" i="6"/>
  <c r="E251" i="6" s="1"/>
  <c r="K50" i="6"/>
  <c r="E255" i="6" s="1"/>
  <c r="K18" i="6"/>
  <c r="D247" i="6" s="1"/>
  <c r="K22" i="6"/>
  <c r="D251" i="6" s="1"/>
  <c r="K27" i="6"/>
  <c r="D256" i="6" s="1"/>
  <c r="K42" i="6"/>
  <c r="E247" i="6" s="1"/>
  <c r="C96" i="6"/>
  <c r="G96" i="6"/>
  <c r="C97" i="6"/>
  <c r="G97" i="6"/>
  <c r="C98" i="6"/>
  <c r="G98" i="6"/>
  <c r="C99" i="6"/>
  <c r="G99" i="6"/>
  <c r="C100" i="6"/>
  <c r="G100" i="6"/>
  <c r="C101" i="6"/>
  <c r="G101" i="6"/>
  <c r="C102" i="6"/>
  <c r="G102" i="6"/>
  <c r="C103" i="6"/>
  <c r="G103" i="6"/>
  <c r="C104" i="6"/>
  <c r="G104" i="6"/>
  <c r="C105" i="6"/>
  <c r="G105" i="6"/>
  <c r="C106" i="6"/>
  <c r="G106" i="6"/>
  <c r="F42" i="6"/>
  <c r="F44" i="6"/>
  <c r="F46" i="6"/>
  <c r="H47" i="6"/>
  <c r="H51" i="6"/>
  <c r="F53" i="6"/>
  <c r="B50" i="6"/>
  <c r="K43" i="6"/>
  <c r="E248" i="6" s="1"/>
  <c r="K47" i="6"/>
  <c r="E252" i="6" s="1"/>
  <c r="K51" i="6"/>
  <c r="E256" i="6" s="1"/>
  <c r="K19" i="6"/>
  <c r="D248" i="6" s="1"/>
  <c r="K24" i="6"/>
  <c r="K28" i="6"/>
  <c r="D96" i="6"/>
  <c r="H96" i="6"/>
  <c r="D97" i="6"/>
  <c r="H97" i="6"/>
  <c r="D98" i="6"/>
  <c r="H98" i="6"/>
  <c r="D99" i="6"/>
  <c r="H99" i="6"/>
  <c r="D100" i="6"/>
  <c r="H100" i="6"/>
  <c r="D101" i="6"/>
  <c r="H101" i="6"/>
  <c r="D102" i="6"/>
  <c r="H102" i="6"/>
  <c r="D103" i="6"/>
  <c r="H103" i="6"/>
  <c r="D104" i="6"/>
  <c r="H104" i="6"/>
  <c r="D105" i="6"/>
  <c r="H105" i="6"/>
  <c r="D106" i="6"/>
  <c r="H106" i="6"/>
  <c r="H42" i="6"/>
  <c r="H44" i="6"/>
  <c r="K44" i="6"/>
  <c r="E249" i="6" s="1"/>
  <c r="K48" i="6"/>
  <c r="E253" i="6" s="1"/>
  <c r="K20" i="6"/>
  <c r="D249" i="6" s="1"/>
  <c r="K25" i="6"/>
  <c r="D254" i="6" s="1"/>
  <c r="E96" i="6"/>
  <c r="I96" i="6"/>
  <c r="E97" i="6"/>
  <c r="I97" i="6"/>
  <c r="E98" i="6"/>
  <c r="I98" i="6"/>
  <c r="E99" i="6"/>
  <c r="I99" i="6"/>
  <c r="E100" i="6"/>
  <c r="I100" i="6"/>
  <c r="E101" i="6"/>
  <c r="I101" i="6"/>
  <c r="E102" i="6"/>
  <c r="I102" i="6"/>
  <c r="E103" i="6"/>
  <c r="I103" i="6"/>
  <c r="E104" i="6"/>
  <c r="I104" i="6"/>
  <c r="E105" i="6"/>
  <c r="I105" i="6"/>
  <c r="E106" i="6"/>
  <c r="I106" i="6"/>
  <c r="F47" i="6"/>
  <c r="H43" i="6"/>
  <c r="B51" i="6"/>
  <c r="B44" i="6"/>
  <c r="B45" i="6"/>
  <c r="D48" i="6"/>
  <c r="B52" i="6"/>
  <c r="D42" i="6"/>
  <c r="D43" i="6"/>
  <c r="D44" i="6"/>
  <c r="D45" i="6"/>
  <c r="D47" i="6"/>
  <c r="D50" i="6"/>
  <c r="D51" i="6"/>
  <c r="D53" i="6"/>
  <c r="F49" i="6"/>
  <c r="H45" i="6"/>
  <c r="H50" i="6"/>
  <c r="H52" i="6"/>
  <c r="F50" i="6"/>
  <c r="F52" i="6"/>
  <c r="F48" i="6"/>
  <c r="D46" i="6"/>
  <c r="D49" i="6"/>
  <c r="B48" i="6"/>
  <c r="B49" i="6"/>
  <c r="B18" i="6"/>
  <c r="B28" i="6"/>
  <c r="H27" i="6"/>
  <c r="H28" i="6"/>
  <c r="F21" i="6"/>
  <c r="F24" i="6"/>
  <c r="F26" i="6"/>
  <c r="F18" i="6"/>
  <c r="F23" i="6"/>
  <c r="F28" i="6"/>
  <c r="F20" i="6"/>
  <c r="F25" i="6"/>
  <c r="F27" i="6"/>
  <c r="D29" i="6"/>
  <c r="B21" i="6"/>
  <c r="B25" i="6"/>
  <c r="B29" i="6"/>
  <c r="B22" i="6"/>
  <c r="B26" i="6"/>
  <c r="B19" i="6"/>
  <c r="B23" i="6"/>
  <c r="B27" i="6"/>
  <c r="D253" i="6"/>
  <c r="D257" i="6"/>
  <c r="C52" i="4"/>
  <c r="C50" i="4"/>
  <c r="C49" i="4"/>
  <c r="C45" i="4"/>
  <c r="C12" i="4"/>
  <c r="C18" i="4"/>
  <c r="C10" i="4"/>
  <c r="C17" i="4"/>
  <c r="C22" i="4"/>
  <c r="C24" i="4"/>
  <c r="C44" i="4"/>
  <c r="C46" i="4"/>
  <c r="C20" i="4"/>
  <c r="C16" i="4"/>
  <c r="C23" i="4"/>
  <c r="C43" i="4"/>
  <c r="H47" i="2"/>
  <c r="D26" i="2"/>
  <c r="G11" i="12" s="1"/>
  <c r="F45" i="2"/>
  <c r="H13" i="2"/>
  <c r="F43" i="2"/>
  <c r="H11" i="2"/>
  <c r="F16" i="2"/>
  <c r="G41" i="2"/>
  <c r="G43" i="2"/>
  <c r="G45" i="2"/>
  <c r="G47" i="2"/>
  <c r="G16" i="2"/>
  <c r="G48" i="2" s="1"/>
  <c r="E41" i="2"/>
  <c r="G42" i="2"/>
  <c r="E43" i="2"/>
  <c r="E45" i="2"/>
  <c r="G46" i="2"/>
  <c r="E47" i="2"/>
  <c r="AC247" i="6" l="1"/>
  <c r="AC256" i="6"/>
  <c r="AC253" i="6"/>
  <c r="AC252" i="6"/>
  <c r="AC257" i="6"/>
  <c r="AC251" i="6"/>
  <c r="AC250" i="6"/>
  <c r="AC255" i="6"/>
  <c r="AC248" i="6"/>
  <c r="F48" i="2"/>
  <c r="C15" i="3"/>
  <c r="F15" i="3" s="1"/>
  <c r="J217" i="6"/>
  <c r="J260" i="6"/>
  <c r="G272" i="6" s="1"/>
  <c r="F185" i="6"/>
  <c r="K258" i="6" s="1"/>
  <c r="A70" i="1"/>
  <c r="L260" i="6"/>
  <c r="I272" i="6" s="1"/>
  <c r="J106" i="6"/>
  <c r="G257" i="6" s="1"/>
  <c r="J102" i="6"/>
  <c r="G253" i="6" s="1"/>
  <c r="J98" i="6"/>
  <c r="G249" i="6" s="1"/>
  <c r="J104" i="6"/>
  <c r="G255" i="6" s="1"/>
  <c r="J100" i="6"/>
  <c r="G251" i="6" s="1"/>
  <c r="J105" i="6"/>
  <c r="G256" i="6" s="1"/>
  <c r="J103" i="6"/>
  <c r="G254" i="6" s="1"/>
  <c r="J101" i="6"/>
  <c r="G252" i="6" s="1"/>
  <c r="J99" i="6"/>
  <c r="G250" i="6" s="1"/>
  <c r="J97" i="6"/>
  <c r="G248" i="6" s="1"/>
  <c r="E260" i="6"/>
  <c r="J96" i="6"/>
  <c r="D260" i="6"/>
  <c r="C272" i="6" s="1"/>
  <c r="C31" i="4"/>
  <c r="C29" i="4"/>
  <c r="C32" i="4"/>
  <c r="C30" i="4"/>
  <c r="C25" i="4"/>
  <c r="C55" i="4"/>
  <c r="C51" i="4"/>
  <c r="C58" i="4"/>
  <c r="C56" i="4"/>
  <c r="H45" i="2"/>
  <c r="H43" i="2"/>
  <c r="K260" i="6" l="1"/>
  <c r="H272" i="6" s="1"/>
  <c r="AC258" i="6"/>
  <c r="AC260" i="6" s="1"/>
  <c r="A71" i="1"/>
  <c r="G247" i="6"/>
  <c r="G260" i="6" s="1"/>
  <c r="E272" i="6" s="1"/>
  <c r="J109" i="6"/>
  <c r="C64" i="4"/>
  <c r="C62" i="4"/>
  <c r="C61" i="4"/>
  <c r="C57" i="4"/>
  <c r="A72" i="1" l="1"/>
  <c r="B2" i="6" s="1"/>
  <c r="H28" i="8"/>
  <c r="G38" i="8" s="1"/>
  <c r="E39" i="11"/>
  <c r="E25" i="8"/>
  <c r="E36" i="11"/>
  <c r="E37" i="11"/>
  <c r="D87" i="11" s="1"/>
  <c r="M1" i="5"/>
  <c r="B4" i="3"/>
  <c r="E4" i="3"/>
  <c r="C67" i="4"/>
  <c r="C63" i="4"/>
  <c r="C70" i="4"/>
  <c r="C68" i="4"/>
  <c r="D6" i="12" l="1"/>
  <c r="D18" i="1"/>
  <c r="Z23" i="3"/>
  <c r="E38" i="11"/>
  <c r="E26" i="8"/>
  <c r="D80" i="8" s="1"/>
  <c r="E27" i="8"/>
  <c r="E28" i="8"/>
  <c r="C18" i="3"/>
  <c r="C19" i="3" s="1"/>
  <c r="D114" i="6" s="1"/>
  <c r="G9" i="4"/>
  <c r="H39" i="11"/>
  <c r="G49" i="11" s="1"/>
  <c r="H9" i="4"/>
  <c r="H10" i="4" s="1"/>
  <c r="H25" i="4" s="1"/>
  <c r="H27" i="4" s="1"/>
  <c r="H28" i="4" s="1"/>
  <c r="V4" i="6"/>
  <c r="S4" i="6"/>
  <c r="S16" i="5"/>
  <c r="O16" i="5"/>
  <c r="K16" i="5"/>
  <c r="S15" i="5"/>
  <c r="O15" i="5"/>
  <c r="K15" i="5"/>
  <c r="S14" i="5"/>
  <c r="O14" i="5"/>
  <c r="K14" i="5"/>
  <c r="S13" i="5"/>
  <c r="O13" i="5"/>
  <c r="K13" i="5"/>
  <c r="T4" i="5"/>
  <c r="P4" i="5"/>
  <c r="L4" i="5"/>
  <c r="R16" i="5"/>
  <c r="N16" i="5"/>
  <c r="J16" i="5"/>
  <c r="R15" i="5"/>
  <c r="N15" i="5"/>
  <c r="J15" i="5"/>
  <c r="R14" i="5"/>
  <c r="N14" i="5"/>
  <c r="J14" i="5"/>
  <c r="R13" i="5"/>
  <c r="N13" i="5"/>
  <c r="J13" i="5"/>
  <c r="S4" i="5"/>
  <c r="O4" i="5"/>
  <c r="K4" i="5"/>
  <c r="U16" i="5"/>
  <c r="Q16" i="5"/>
  <c r="M16" i="5"/>
  <c r="U15" i="5"/>
  <c r="Q15" i="5"/>
  <c r="M15" i="5"/>
  <c r="U14" i="5"/>
  <c r="Q14" i="5"/>
  <c r="M14" i="5"/>
  <c r="U13" i="5"/>
  <c r="Q13" i="5"/>
  <c r="M13" i="5"/>
  <c r="V4" i="5"/>
  <c r="R4" i="5"/>
  <c r="N4" i="5"/>
  <c r="J4" i="5"/>
  <c r="T16" i="5"/>
  <c r="P16" i="5"/>
  <c r="L16" i="5"/>
  <c r="T15" i="5"/>
  <c r="P15" i="5"/>
  <c r="L15" i="5"/>
  <c r="T14" i="5"/>
  <c r="P14" i="5"/>
  <c r="L14" i="5"/>
  <c r="T13" i="5"/>
  <c r="P13" i="5"/>
  <c r="L13" i="5"/>
  <c r="U4" i="5"/>
  <c r="Q4" i="5"/>
  <c r="M4" i="5"/>
  <c r="K7" i="5"/>
  <c r="O8" i="5"/>
  <c r="S9" i="5"/>
  <c r="L7" i="5"/>
  <c r="P8" i="5"/>
  <c r="T9" i="5"/>
  <c r="M7" i="5"/>
  <c r="Q8" i="5"/>
  <c r="U9" i="5"/>
  <c r="J7" i="5"/>
  <c r="N8" i="5"/>
  <c r="R9" i="5"/>
  <c r="O7" i="5"/>
  <c r="S8" i="5"/>
  <c r="K10" i="5"/>
  <c r="P7" i="5"/>
  <c r="T8" i="5"/>
  <c r="L10" i="5"/>
  <c r="Q7" i="5"/>
  <c r="U8" i="5"/>
  <c r="M10" i="5"/>
  <c r="N7" i="5"/>
  <c r="R8" i="5"/>
  <c r="J10" i="5"/>
  <c r="S7" i="5"/>
  <c r="K9" i="5"/>
  <c r="O10" i="5"/>
  <c r="T7" i="5"/>
  <c r="L9" i="5"/>
  <c r="P10" i="5"/>
  <c r="U7" i="5"/>
  <c r="M9" i="5"/>
  <c r="Q10" i="5"/>
  <c r="R7" i="5"/>
  <c r="J9" i="5"/>
  <c r="N10" i="5"/>
  <c r="K8" i="5"/>
  <c r="O9" i="5"/>
  <c r="S10" i="5"/>
  <c r="L8" i="5"/>
  <c r="P9" i="5"/>
  <c r="T10" i="5"/>
  <c r="M8" i="5"/>
  <c r="Q9" i="5"/>
  <c r="U10" i="5"/>
  <c r="J8" i="5"/>
  <c r="N9" i="5"/>
  <c r="R10" i="5"/>
  <c r="H4" i="3"/>
  <c r="AB28" i="3" s="1"/>
  <c r="D91" i="11"/>
  <c r="D95" i="11" s="1"/>
  <c r="D92" i="11"/>
  <c r="D96" i="11" s="1"/>
  <c r="E42" i="11"/>
  <c r="E43" i="11"/>
  <c r="E41" i="11"/>
  <c r="E44" i="11"/>
  <c r="E30" i="8"/>
  <c r="E31" i="8"/>
  <c r="E32" i="8"/>
  <c r="E33" i="8"/>
  <c r="C76" i="4"/>
  <c r="C74" i="4"/>
  <c r="C75" i="4"/>
  <c r="C73" i="4"/>
  <c r="C69" i="4"/>
  <c r="AA23" i="6" l="1"/>
  <c r="AA19" i="6"/>
  <c r="AA15" i="6"/>
  <c r="Z8" i="6"/>
  <c r="V8" i="6"/>
  <c r="R8" i="6"/>
  <c r="AA22" i="6"/>
  <c r="AA18" i="6"/>
  <c r="AA14" i="6"/>
  <c r="Y8" i="6"/>
  <c r="U8" i="6"/>
  <c r="Q8" i="6"/>
  <c r="AA21" i="6"/>
  <c r="AA17" i="6"/>
  <c r="I252" i="6" s="1"/>
  <c r="AA13" i="6"/>
  <c r="X8" i="6"/>
  <c r="T8" i="6"/>
  <c r="P8" i="6"/>
  <c r="AA20" i="6"/>
  <c r="AA16" i="6"/>
  <c r="AA12" i="6"/>
  <c r="W8" i="6"/>
  <c r="S8" i="6"/>
  <c r="O8" i="6"/>
  <c r="H42" i="8"/>
  <c r="E54" i="8"/>
  <c r="E66" i="8" s="1"/>
  <c r="D85" i="8" s="1"/>
  <c r="D89" i="8" s="1"/>
  <c r="H41" i="8"/>
  <c r="H43" i="8"/>
  <c r="H40" i="8"/>
  <c r="H52" i="11"/>
  <c r="H51" i="11"/>
  <c r="H54" i="11"/>
  <c r="H53" i="11"/>
  <c r="D104" i="11"/>
  <c r="C122" i="11"/>
  <c r="C93" i="12" s="1"/>
  <c r="D122" i="11"/>
  <c r="D93" i="12" s="1"/>
  <c r="C121" i="11"/>
  <c r="C92" i="12" s="1"/>
  <c r="D103" i="11"/>
  <c r="D121" i="11"/>
  <c r="D92" i="12" s="1"/>
  <c r="H13" i="11" l="1"/>
  <c r="E65" i="8"/>
  <c r="D84" i="8" s="1"/>
  <c r="D88" i="8" s="1"/>
  <c r="D96" i="8" s="1"/>
  <c r="E121" i="11"/>
  <c r="F121" i="11"/>
  <c r="E122" i="11"/>
  <c r="F122" i="11"/>
  <c r="D115" i="8"/>
  <c r="D107" i="12" s="1"/>
  <c r="D97" i="8"/>
  <c r="C115" i="8"/>
  <c r="C107" i="12" s="1"/>
  <c r="G15" i="11"/>
  <c r="I254" i="6" s="1"/>
  <c r="F76" i="6"/>
  <c r="H76" i="6"/>
  <c r="B76" i="6"/>
  <c r="C129" i="6"/>
  <c r="H254" i="6" s="1"/>
  <c r="I76" i="6"/>
  <c r="G76" i="6"/>
  <c r="C76" i="6"/>
  <c r="E76" i="6"/>
  <c r="G33" i="7"/>
  <c r="D76" i="6"/>
  <c r="G74" i="6"/>
  <c r="AE252" i="6"/>
  <c r="I74" i="6"/>
  <c r="C127" i="6"/>
  <c r="H252" i="6" s="1"/>
  <c r="G31" i="7"/>
  <c r="D74" i="6"/>
  <c r="B74" i="6"/>
  <c r="H74" i="6"/>
  <c r="F74" i="6"/>
  <c r="C74" i="6"/>
  <c r="E74" i="6"/>
  <c r="G16" i="11"/>
  <c r="I255" i="6" s="1"/>
  <c r="G34" i="7"/>
  <c r="C130" i="6"/>
  <c r="H255" i="6" s="1"/>
  <c r="D77" i="6"/>
  <c r="B77" i="6"/>
  <c r="C77" i="6"/>
  <c r="E77" i="6"/>
  <c r="G77" i="6"/>
  <c r="I77" i="6"/>
  <c r="H77" i="6"/>
  <c r="F77" i="6"/>
  <c r="G11" i="11"/>
  <c r="H11" i="11" s="1"/>
  <c r="C125" i="6"/>
  <c r="H250" i="6" s="1"/>
  <c r="I72" i="6"/>
  <c r="G72" i="6"/>
  <c r="G29" i="7"/>
  <c r="D72" i="6"/>
  <c r="B72" i="6"/>
  <c r="H72" i="6"/>
  <c r="F72" i="6"/>
  <c r="C72" i="6"/>
  <c r="E72" i="6"/>
  <c r="G18" i="11"/>
  <c r="H18" i="11" s="1"/>
  <c r="E79" i="6"/>
  <c r="C79" i="6"/>
  <c r="I79" i="6"/>
  <c r="C132" i="6"/>
  <c r="H257" i="6" s="1"/>
  <c r="D79" i="6"/>
  <c r="B79" i="6"/>
  <c r="G36" i="7"/>
  <c r="H79" i="6"/>
  <c r="F79" i="6"/>
  <c r="G79" i="6"/>
  <c r="G9" i="11"/>
  <c r="H9" i="11" s="1"/>
  <c r="C70" i="6"/>
  <c r="C123" i="6"/>
  <c r="H248" i="6" s="1"/>
  <c r="E70" i="6"/>
  <c r="I70" i="6"/>
  <c r="G70" i="6"/>
  <c r="H70" i="6"/>
  <c r="F70" i="6"/>
  <c r="G27" i="7"/>
  <c r="D70" i="6"/>
  <c r="B70" i="6"/>
  <c r="G12" i="11"/>
  <c r="H12" i="11" s="1"/>
  <c r="G73" i="6"/>
  <c r="C126" i="6"/>
  <c r="H251" i="6" s="1"/>
  <c r="I73" i="6"/>
  <c r="G30" i="7"/>
  <c r="D73" i="6"/>
  <c r="H73" i="6"/>
  <c r="F73" i="6"/>
  <c r="B73" i="6"/>
  <c r="C73" i="6"/>
  <c r="E73" i="6"/>
  <c r="G14" i="11"/>
  <c r="I253" i="6" s="1"/>
  <c r="G32" i="7"/>
  <c r="F75" i="6"/>
  <c r="H75" i="6"/>
  <c r="I75" i="6"/>
  <c r="C128" i="6"/>
  <c r="H253" i="6" s="1"/>
  <c r="C75" i="6"/>
  <c r="E75" i="6"/>
  <c r="D75" i="6"/>
  <c r="B75" i="6"/>
  <c r="G75" i="6"/>
  <c r="G10" i="11"/>
  <c r="H10" i="11" s="1"/>
  <c r="E71" i="6"/>
  <c r="C124" i="6"/>
  <c r="H249" i="6" s="1"/>
  <c r="C71" i="6"/>
  <c r="G28" i="7"/>
  <c r="D71" i="6"/>
  <c r="B71" i="6"/>
  <c r="H71" i="6"/>
  <c r="F71" i="6"/>
  <c r="G71" i="6"/>
  <c r="I71" i="6"/>
  <c r="F80" i="6"/>
  <c r="G19" i="11"/>
  <c r="I258" i="6" s="1"/>
  <c r="G37" i="7"/>
  <c r="C133" i="6"/>
  <c r="H258" i="6" s="1"/>
  <c r="H80" i="6"/>
  <c r="C80" i="6"/>
  <c r="E80" i="6"/>
  <c r="D80" i="6"/>
  <c r="B80" i="6"/>
  <c r="G80" i="6"/>
  <c r="I80" i="6"/>
  <c r="G17" i="11"/>
  <c r="H17" i="11" s="1"/>
  <c r="F78" i="6"/>
  <c r="H78" i="6"/>
  <c r="G78" i="6"/>
  <c r="C131" i="6"/>
  <c r="H256" i="6" s="1"/>
  <c r="I78" i="6"/>
  <c r="G35" i="7"/>
  <c r="C78" i="6"/>
  <c r="E78" i="6"/>
  <c r="D78" i="6"/>
  <c r="B78" i="6"/>
  <c r="G8" i="11"/>
  <c r="H8" i="11" s="1"/>
  <c r="B69" i="6"/>
  <c r="C122" i="6"/>
  <c r="H69" i="6"/>
  <c r="E69" i="6"/>
  <c r="C69" i="6"/>
  <c r="I69" i="6"/>
  <c r="D69" i="6"/>
  <c r="F69" i="6"/>
  <c r="G26" i="7"/>
  <c r="G69" i="6"/>
  <c r="E42" i="2"/>
  <c r="E44" i="2"/>
  <c r="I35" i="6"/>
  <c r="I45" i="6" s="1"/>
  <c r="G35" i="6"/>
  <c r="G53" i="6" s="1"/>
  <c r="E46" i="2"/>
  <c r="H14" i="2"/>
  <c r="D42" i="2"/>
  <c r="C35" i="6"/>
  <c r="C42" i="6" s="1"/>
  <c r="H14" i="11" l="1"/>
  <c r="I257" i="6"/>
  <c r="H19" i="11"/>
  <c r="I251" i="6"/>
  <c r="AE251" i="6" s="1"/>
  <c r="H15" i="11"/>
  <c r="H16" i="11"/>
  <c r="I250" i="6"/>
  <c r="AE250" i="6" s="1"/>
  <c r="I256" i="6"/>
  <c r="AE256" i="6" s="1"/>
  <c r="I249" i="6"/>
  <c r="I247" i="6"/>
  <c r="I248" i="6"/>
  <c r="AE248" i="6" s="1"/>
  <c r="G122" i="11"/>
  <c r="G93" i="12" s="1"/>
  <c r="E93" i="12"/>
  <c r="H121" i="11"/>
  <c r="H92" i="12" s="1"/>
  <c r="F92" i="12"/>
  <c r="G121" i="11"/>
  <c r="G92" i="12" s="1"/>
  <c r="E92" i="12"/>
  <c r="H122" i="11"/>
  <c r="H93" i="12" s="1"/>
  <c r="F93" i="12"/>
  <c r="D114" i="8"/>
  <c r="D106" i="12" s="1"/>
  <c r="C114" i="8"/>
  <c r="C106" i="12" s="1"/>
  <c r="AE258" i="6"/>
  <c r="AE249" i="6"/>
  <c r="AE253" i="6"/>
  <c r="AE257" i="6"/>
  <c r="AE255" i="6"/>
  <c r="AE254" i="6"/>
  <c r="J78" i="6"/>
  <c r="F256" i="6" s="1"/>
  <c r="J70" i="6"/>
  <c r="F248" i="6" s="1"/>
  <c r="H247" i="6"/>
  <c r="H260" i="6" s="1"/>
  <c r="F272" i="6" s="1"/>
  <c r="C135" i="6"/>
  <c r="J69" i="6"/>
  <c r="F247" i="6" s="1"/>
  <c r="AE247" i="6"/>
  <c r="J80" i="6"/>
  <c r="F258" i="6" s="1"/>
  <c r="J71" i="6"/>
  <c r="F249" i="6" s="1"/>
  <c r="J75" i="6"/>
  <c r="F253" i="6" s="1"/>
  <c r="J73" i="6"/>
  <c r="F251" i="6" s="1"/>
  <c r="J79" i="6"/>
  <c r="F257" i="6" s="1"/>
  <c r="J72" i="6"/>
  <c r="F250" i="6" s="1"/>
  <c r="J77" i="6"/>
  <c r="F255" i="6" s="1"/>
  <c r="J74" i="6"/>
  <c r="F252" i="6" s="1"/>
  <c r="J76" i="6"/>
  <c r="F254" i="6" s="1"/>
  <c r="F115" i="8"/>
  <c r="E115" i="8"/>
  <c r="F114" i="8"/>
  <c r="F106" i="12" s="1"/>
  <c r="E114" i="8"/>
  <c r="E106" i="12" s="1"/>
  <c r="H46" i="2"/>
  <c r="I11" i="6"/>
  <c r="D44" i="2"/>
  <c r="C49" i="6"/>
  <c r="C43" i="6"/>
  <c r="C53" i="6"/>
  <c r="C48" i="6"/>
  <c r="C52" i="6"/>
  <c r="C46" i="6"/>
  <c r="C51" i="6"/>
  <c r="C50" i="6"/>
  <c r="C11" i="6"/>
  <c r="D46" i="2"/>
  <c r="G11" i="6"/>
  <c r="G18" i="6" s="1"/>
  <c r="C44" i="6"/>
  <c r="H10" i="2"/>
  <c r="H12" i="2"/>
  <c r="C47" i="6"/>
  <c r="C45" i="6"/>
  <c r="I44" i="6"/>
  <c r="I53" i="6"/>
  <c r="I48" i="6"/>
  <c r="G48" i="6"/>
  <c r="G47" i="6"/>
  <c r="G45" i="6"/>
  <c r="I51" i="6"/>
  <c r="I47" i="6"/>
  <c r="I46" i="6"/>
  <c r="G46" i="6"/>
  <c r="G51" i="6"/>
  <c r="G52" i="6"/>
  <c r="I52" i="6"/>
  <c r="I50" i="6"/>
  <c r="I43" i="6"/>
  <c r="G49" i="6"/>
  <c r="G44" i="6"/>
  <c r="G50" i="6"/>
  <c r="I49" i="6"/>
  <c r="I42" i="6"/>
  <c r="G43" i="6"/>
  <c r="G42" i="6"/>
  <c r="H21" i="11" l="1"/>
  <c r="J24" i="11" s="1"/>
  <c r="G115" i="8"/>
  <c r="G107" i="12" s="1"/>
  <c r="E107" i="12"/>
  <c r="H115" i="8"/>
  <c r="H107" i="12" s="1"/>
  <c r="F107" i="12"/>
  <c r="G114" i="8"/>
  <c r="G106" i="12" s="1"/>
  <c r="H114" i="8"/>
  <c r="H106" i="12" s="1"/>
  <c r="AE260" i="6"/>
  <c r="I260" i="6"/>
  <c r="F260" i="6"/>
  <c r="D272" i="6" s="1"/>
  <c r="H44" i="2"/>
  <c r="G22" i="6"/>
  <c r="G23" i="6"/>
  <c r="G21" i="6"/>
  <c r="G20" i="6"/>
  <c r="G24" i="6"/>
  <c r="G26" i="6"/>
  <c r="G25" i="6"/>
  <c r="G28" i="6"/>
  <c r="G29" i="6"/>
  <c r="G19" i="6"/>
  <c r="G27" i="6"/>
  <c r="H42" i="2"/>
  <c r="C28" i="6"/>
  <c r="C19" i="6"/>
  <c r="C26" i="6"/>
  <c r="C20" i="6"/>
  <c r="C27" i="6"/>
  <c r="C18" i="6"/>
  <c r="C24" i="6"/>
  <c r="C25" i="6"/>
  <c r="C21" i="6"/>
  <c r="C29" i="6"/>
  <c r="C22" i="6"/>
  <c r="C23" i="6"/>
  <c r="I23" i="6"/>
  <c r="I27" i="6"/>
  <c r="I28" i="6"/>
  <c r="I19" i="6"/>
  <c r="I25" i="6"/>
  <c r="I29" i="6"/>
  <c r="I24" i="6"/>
  <c r="I21" i="6"/>
  <c r="I26" i="6"/>
  <c r="I20" i="6"/>
  <c r="I22" i="6"/>
  <c r="I18" i="6"/>
  <c r="E40" i="2"/>
  <c r="E16" i="2"/>
  <c r="E48" i="2" s="1"/>
  <c r="E35" i="6"/>
  <c r="E42" i="6" s="1"/>
  <c r="J42" i="6" s="1"/>
  <c r="C247" i="6" s="1"/>
  <c r="D16" i="2"/>
  <c r="I24" i="11" l="1"/>
  <c r="E24" i="11"/>
  <c r="C11" i="3"/>
  <c r="F11" i="3" s="1"/>
  <c r="D48" i="2"/>
  <c r="C10" i="3"/>
  <c r="F10" i="3" s="1"/>
  <c r="D40" i="2"/>
  <c r="H8" i="2"/>
  <c r="E11" i="6"/>
  <c r="E47" i="6"/>
  <c r="J47" i="6" s="1"/>
  <c r="C252" i="6" s="1"/>
  <c r="E53" i="6"/>
  <c r="J53" i="6" s="1"/>
  <c r="C258" i="6" s="1"/>
  <c r="E52" i="6"/>
  <c r="J52" i="6" s="1"/>
  <c r="C257" i="6" s="1"/>
  <c r="E44" i="6"/>
  <c r="J44" i="6" s="1"/>
  <c r="C249" i="6" s="1"/>
  <c r="E43" i="6"/>
  <c r="J43" i="6" s="1"/>
  <c r="C248" i="6" s="1"/>
  <c r="E45" i="6"/>
  <c r="J45" i="6" s="1"/>
  <c r="C250" i="6" s="1"/>
  <c r="E50" i="6"/>
  <c r="J50" i="6" s="1"/>
  <c r="C255" i="6" s="1"/>
  <c r="E48" i="6"/>
  <c r="J48" i="6" s="1"/>
  <c r="C253" i="6" s="1"/>
  <c r="E51" i="6"/>
  <c r="J51" i="6" s="1"/>
  <c r="C256" i="6" s="1"/>
  <c r="E49" i="6"/>
  <c r="J49" i="6" s="1"/>
  <c r="C254" i="6" s="1"/>
  <c r="E46" i="6"/>
  <c r="J46" i="6" s="1"/>
  <c r="C251" i="6" s="1"/>
  <c r="F21" i="3" l="1"/>
  <c r="C31" i="12" s="1"/>
  <c r="C260" i="6"/>
  <c r="H16" i="2"/>
  <c r="H19" i="2" s="1"/>
  <c r="H40" i="2"/>
  <c r="E29" i="6"/>
  <c r="J29" i="6" s="1"/>
  <c r="B258" i="6" s="1"/>
  <c r="AB258" i="6" s="1"/>
  <c r="AD258" i="6" s="1"/>
  <c r="E21" i="6"/>
  <c r="J21" i="6" s="1"/>
  <c r="B250" i="6" s="1"/>
  <c r="AB250" i="6" s="1"/>
  <c r="AD250" i="6" s="1"/>
  <c r="E27" i="6"/>
  <c r="J27" i="6" s="1"/>
  <c r="B256" i="6" s="1"/>
  <c r="AB256" i="6" s="1"/>
  <c r="AD256" i="6" s="1"/>
  <c r="E19" i="6"/>
  <c r="J19" i="6" s="1"/>
  <c r="B248" i="6" s="1"/>
  <c r="AB248" i="6" s="1"/>
  <c r="AD248" i="6" s="1"/>
  <c r="E26" i="6"/>
  <c r="J26" i="6" s="1"/>
  <c r="B255" i="6" s="1"/>
  <c r="AB255" i="6" s="1"/>
  <c r="AD255" i="6" s="1"/>
  <c r="E24" i="6"/>
  <c r="J24" i="6" s="1"/>
  <c r="B253" i="6" s="1"/>
  <c r="AB253" i="6" s="1"/>
  <c r="AD253" i="6" s="1"/>
  <c r="E25" i="6"/>
  <c r="J25" i="6" s="1"/>
  <c r="B254" i="6" s="1"/>
  <c r="AB254" i="6" s="1"/>
  <c r="AD254" i="6" s="1"/>
  <c r="E20" i="6"/>
  <c r="J20" i="6" s="1"/>
  <c r="B249" i="6" s="1"/>
  <c r="AB249" i="6" s="1"/>
  <c r="AD249" i="6" s="1"/>
  <c r="E23" i="6"/>
  <c r="J23" i="6" s="1"/>
  <c r="B252" i="6" s="1"/>
  <c r="AB252" i="6" s="1"/>
  <c r="AD252" i="6" s="1"/>
  <c r="E28" i="6"/>
  <c r="J28" i="6" s="1"/>
  <c r="B257" i="6" s="1"/>
  <c r="AB257" i="6" s="1"/>
  <c r="AD257" i="6" s="1"/>
  <c r="E22" i="6"/>
  <c r="J22" i="6" s="1"/>
  <c r="B251" i="6" s="1"/>
  <c r="AB251" i="6" s="1"/>
  <c r="AD251" i="6" s="1"/>
  <c r="E18" i="6"/>
  <c r="J18" i="6" s="1"/>
  <c r="B247" i="6" s="1"/>
  <c r="AB247" i="6" s="1"/>
  <c r="J8" i="2" l="1"/>
  <c r="G21" i="7"/>
  <c r="E97" i="12" s="1"/>
  <c r="G97" i="12" s="1"/>
  <c r="AB260" i="6"/>
  <c r="AD247" i="6"/>
  <c r="AD260" i="6" s="1"/>
  <c r="G16" i="3"/>
  <c r="C26" i="12" s="1"/>
  <c r="G12" i="3"/>
  <c r="C22" i="12" s="1"/>
  <c r="G15" i="3"/>
  <c r="C25" i="12" s="1"/>
  <c r="G14" i="3"/>
  <c r="C24" i="12" s="1"/>
  <c r="G13" i="3"/>
  <c r="C23" i="12" s="1"/>
  <c r="G11" i="3"/>
  <c r="C21" i="12" s="1"/>
  <c r="G10" i="3"/>
  <c r="C20" i="12" s="1"/>
  <c r="AF252" i="6"/>
  <c r="H31" i="7" s="1"/>
  <c r="AF255" i="6"/>
  <c r="H34" i="7" s="1"/>
  <c r="AF258" i="6"/>
  <c r="H37" i="7" s="1"/>
  <c r="AF247" i="6"/>
  <c r="B260" i="6"/>
  <c r="AF249" i="6"/>
  <c r="H28" i="7" s="1"/>
  <c r="AF248" i="6"/>
  <c r="H27" i="7" s="1"/>
  <c r="AF251" i="6"/>
  <c r="H30" i="7" s="1"/>
  <c r="AF254" i="6"/>
  <c r="H33" i="7" s="1"/>
  <c r="AF256" i="6"/>
  <c r="H35" i="7" s="1"/>
  <c r="H48" i="2"/>
  <c r="G21" i="3"/>
  <c r="G17" i="3"/>
  <c r="C27" i="12" s="1"/>
  <c r="AA17" i="3"/>
  <c r="AA20" i="3" s="1"/>
  <c r="Y26" i="3" s="1"/>
  <c r="G56" i="12" s="1"/>
  <c r="M42" i="3"/>
  <c r="B20" i="5" s="1"/>
  <c r="AF257" i="6"/>
  <c r="H36" i="7" s="1"/>
  <c r="AF253" i="6"/>
  <c r="H32" i="7" s="1"/>
  <c r="AF250" i="6"/>
  <c r="H29" i="7" s="1"/>
  <c r="J12" i="2"/>
  <c r="J11" i="2"/>
  <c r="J10" i="2"/>
  <c r="J14" i="2"/>
  <c r="J15" i="2"/>
  <c r="J9" i="2"/>
  <c r="J18" i="2"/>
  <c r="J13" i="2"/>
  <c r="D29" i="2"/>
  <c r="G13" i="12" s="1"/>
  <c r="C29" i="12" l="1"/>
  <c r="M34" i="5"/>
  <c r="L34" i="5"/>
  <c r="K34" i="5"/>
  <c r="J34" i="5"/>
  <c r="J33" i="5"/>
  <c r="N34" i="5"/>
  <c r="O34" i="5"/>
  <c r="P34" i="5"/>
  <c r="Q34" i="5"/>
  <c r="R34" i="5"/>
  <c r="S34" i="5"/>
  <c r="T34" i="5"/>
  <c r="U34" i="5"/>
  <c r="K33" i="5"/>
  <c r="O33" i="5"/>
  <c r="S33" i="5"/>
  <c r="N33" i="5"/>
  <c r="U33" i="5"/>
  <c r="P33" i="5"/>
  <c r="T33" i="5"/>
  <c r="L33" i="5"/>
  <c r="M33" i="5"/>
  <c r="Q33" i="5"/>
  <c r="R33" i="5"/>
  <c r="I4" i="11"/>
  <c r="K261" i="6"/>
  <c r="H273" i="6" s="1"/>
  <c r="D261" i="6"/>
  <c r="F261" i="6"/>
  <c r="D273" i="6" s="1"/>
  <c r="E261" i="6"/>
  <c r="C261" i="6"/>
  <c r="J261" i="6"/>
  <c r="G273" i="6" s="1"/>
  <c r="G261" i="6"/>
  <c r="E273" i="6" s="1"/>
  <c r="L261" i="6"/>
  <c r="I273" i="6" s="1"/>
  <c r="H261" i="6"/>
  <c r="F273" i="6" s="1"/>
  <c r="B272" i="6"/>
  <c r="B261" i="6"/>
  <c r="H26" i="7"/>
  <c r="I26" i="7" s="1"/>
  <c r="I27" i="7" s="1"/>
  <c r="I28" i="7" s="1"/>
  <c r="I29" i="7" s="1"/>
  <c r="I30" i="7" s="1"/>
  <c r="I31" i="7" s="1"/>
  <c r="I32" i="7" s="1"/>
  <c r="I33" i="7" s="1"/>
  <c r="I34" i="7" s="1"/>
  <c r="I35" i="7" s="1"/>
  <c r="I36" i="7" s="1"/>
  <c r="I37" i="7" s="1"/>
  <c r="AF260" i="6"/>
  <c r="J19" i="2"/>
  <c r="D27" i="2"/>
  <c r="G12" i="12" s="1"/>
  <c r="H52" i="2"/>
  <c r="J48" i="2" s="1"/>
  <c r="P30" i="5"/>
  <c r="U38" i="5"/>
  <c r="P41" i="5"/>
  <c r="Q36" i="5"/>
  <c r="T30" i="5"/>
  <c r="L40" i="5"/>
  <c r="K41" i="5"/>
  <c r="S23" i="5"/>
  <c r="O38" i="5"/>
  <c r="O41" i="5"/>
  <c r="Q42" i="5"/>
  <c r="U36" i="5"/>
  <c r="O26" i="5"/>
  <c r="R35" i="5"/>
  <c r="O36" i="5"/>
  <c r="M31" i="5"/>
  <c r="R36" i="5"/>
  <c r="L37" i="5"/>
  <c r="P28" i="5"/>
  <c r="S37" i="5"/>
  <c r="P36" i="5"/>
  <c r="M25" i="5"/>
  <c r="T32" i="5"/>
  <c r="N27" i="5"/>
  <c r="T26" i="5"/>
  <c r="N40" i="5"/>
  <c r="N36" i="5"/>
  <c r="M26" i="5"/>
  <c r="L30" i="5"/>
  <c r="R26" i="5"/>
  <c r="U31" i="5"/>
  <c r="S29" i="5"/>
  <c r="T39" i="5"/>
  <c r="T37" i="5"/>
  <c r="P42" i="5"/>
  <c r="S27" i="5"/>
  <c r="R40" i="5"/>
  <c r="O40" i="5"/>
  <c r="O29" i="5"/>
  <c r="S42" i="5"/>
  <c r="O27" i="5"/>
  <c r="S41" i="5"/>
  <c r="R32" i="5"/>
  <c r="K24" i="5"/>
  <c r="R42" i="5"/>
  <c r="S25" i="5"/>
  <c r="N37" i="5"/>
  <c r="M23" i="5"/>
  <c r="L28" i="5"/>
  <c r="U39" i="5"/>
  <c r="M32" i="5"/>
  <c r="L23" i="5"/>
  <c r="P26" i="5"/>
  <c r="O24" i="5"/>
  <c r="Q27" i="5"/>
  <c r="K26" i="5"/>
  <c r="R25" i="5"/>
  <c r="Q23" i="5"/>
  <c r="U35" i="5"/>
  <c r="T42" i="5"/>
  <c r="Q35" i="5"/>
  <c r="O37" i="5"/>
  <c r="Q30" i="5"/>
  <c r="L32" i="5"/>
  <c r="M40" i="5"/>
  <c r="M35" i="5"/>
  <c r="O25" i="5"/>
  <c r="N39" i="5"/>
  <c r="P38" i="5"/>
  <c r="Q26" i="5"/>
  <c r="T23" i="5"/>
  <c r="L41" i="5"/>
  <c r="K40" i="5"/>
  <c r="P40" i="5"/>
  <c r="U40" i="5"/>
  <c r="S38" i="5"/>
  <c r="L25" i="5"/>
  <c r="P32" i="5"/>
  <c r="P23" i="5"/>
  <c r="S31" i="5"/>
  <c r="N41" i="5"/>
  <c r="L31" i="5"/>
  <c r="M37" i="5"/>
  <c r="P35" i="5"/>
  <c r="K23" i="5"/>
  <c r="K28" i="5"/>
  <c r="T41" i="5"/>
  <c r="N28" i="5"/>
  <c r="S26" i="5"/>
  <c r="P24" i="5"/>
  <c r="L26" i="5"/>
  <c r="U26" i="5"/>
  <c r="P31" i="5"/>
  <c r="O30" i="5"/>
  <c r="K29" i="5"/>
  <c r="S24" i="5"/>
  <c r="K25" i="5"/>
  <c r="L24" i="5"/>
  <c r="O31" i="5"/>
  <c r="J31" i="5"/>
  <c r="Q41" i="5"/>
  <c r="S39" i="5"/>
  <c r="Q37" i="5"/>
  <c r="M30" i="5"/>
  <c r="N38" i="5"/>
  <c r="T24" i="5"/>
  <c r="M42" i="5"/>
  <c r="L38" i="5"/>
  <c r="N31" i="5"/>
  <c r="T40" i="5"/>
  <c r="U32" i="5"/>
  <c r="S35" i="5"/>
  <c r="O42" i="5"/>
  <c r="Q38" i="5"/>
  <c r="K39" i="5"/>
  <c r="N24" i="5"/>
  <c r="P37" i="5"/>
  <c r="O28" i="5"/>
  <c r="O35" i="5"/>
  <c r="L27" i="5"/>
  <c r="Q40" i="5"/>
  <c r="N35" i="5"/>
  <c r="U41" i="5"/>
  <c r="P29" i="5"/>
  <c r="R39" i="5"/>
  <c r="U24" i="5"/>
  <c r="R24" i="5"/>
  <c r="U23" i="5"/>
  <c r="O23" i="5"/>
  <c r="N26" i="5"/>
  <c r="L36" i="5"/>
  <c r="K38" i="5"/>
  <c r="U37" i="5"/>
  <c r="Q32" i="5"/>
  <c r="R31" i="5"/>
  <c r="M29" i="5"/>
  <c r="M27" i="5"/>
  <c r="T29" i="5"/>
  <c r="S28" i="5"/>
  <c r="U27" i="5"/>
  <c r="N29" i="5"/>
  <c r="S32" i="5"/>
  <c r="N25" i="5"/>
  <c r="L29" i="5"/>
  <c r="L42" i="5"/>
  <c r="M28" i="5"/>
  <c r="K42" i="5"/>
  <c r="T28" i="5"/>
  <c r="S30" i="5"/>
  <c r="U42" i="5"/>
  <c r="Q31" i="5"/>
  <c r="K37" i="5"/>
  <c r="K31" i="5"/>
  <c r="R29" i="5"/>
  <c r="R23" i="5"/>
  <c r="N30" i="5"/>
  <c r="K30" i="5"/>
  <c r="R28" i="5"/>
  <c r="T35" i="5"/>
  <c r="S36" i="5"/>
  <c r="P39" i="5"/>
  <c r="K27" i="5"/>
  <c r="M24" i="5"/>
  <c r="R38" i="5"/>
  <c r="O32" i="5"/>
  <c r="L35" i="5"/>
  <c r="K36" i="5"/>
  <c r="P25" i="5"/>
  <c r="N42" i="5"/>
  <c r="N23" i="5"/>
  <c r="M39" i="5"/>
  <c r="S40" i="5"/>
  <c r="O39" i="5"/>
  <c r="Q39" i="5"/>
  <c r="K32" i="5"/>
  <c r="R41" i="5"/>
  <c r="U28" i="5"/>
  <c r="T31" i="5"/>
  <c r="P27" i="5"/>
  <c r="M36" i="5"/>
  <c r="Q24" i="5"/>
  <c r="M41" i="5"/>
  <c r="U30" i="5"/>
  <c r="T25" i="5"/>
  <c r="R37" i="5"/>
  <c r="Q29" i="5"/>
  <c r="Q28" i="5"/>
  <c r="R27" i="5"/>
  <c r="T36" i="5"/>
  <c r="N32" i="5"/>
  <c r="U25" i="5"/>
  <c r="U29" i="5"/>
  <c r="L39" i="5"/>
  <c r="R30" i="5"/>
  <c r="T27" i="5"/>
  <c r="K35" i="5"/>
  <c r="Q25" i="5"/>
  <c r="M38" i="5"/>
  <c r="T38" i="5"/>
  <c r="J27" i="5"/>
  <c r="J40" i="5"/>
  <c r="J26" i="5"/>
  <c r="J28" i="5"/>
  <c r="J24" i="5"/>
  <c r="J32" i="5"/>
  <c r="J35" i="5"/>
  <c r="J30" i="5"/>
  <c r="J36" i="5"/>
  <c r="J37" i="5"/>
  <c r="J38" i="5"/>
  <c r="J29" i="5"/>
  <c r="J42" i="5"/>
  <c r="J39" i="5"/>
  <c r="J41" i="5"/>
  <c r="J25" i="5"/>
  <c r="J23" i="5"/>
  <c r="D264" i="6"/>
  <c r="F82" i="12" s="1"/>
  <c r="AA21" i="3"/>
  <c r="D265" i="6" l="1"/>
  <c r="G61" i="12"/>
  <c r="V34" i="5"/>
  <c r="N23" i="3" s="1"/>
  <c r="O23" i="3" s="1"/>
  <c r="V33" i="5"/>
  <c r="N22" i="3" s="1"/>
  <c r="O22" i="3" s="1"/>
  <c r="C273" i="6"/>
  <c r="B273" i="6"/>
  <c r="V23" i="5"/>
  <c r="N9" i="3" s="1"/>
  <c r="O9" i="3" s="1"/>
  <c r="V42" i="5"/>
  <c r="N34" i="3" s="1"/>
  <c r="O34" i="3" s="1"/>
  <c r="V36" i="5"/>
  <c r="N25" i="3" s="1"/>
  <c r="O25" i="3" s="1"/>
  <c r="V24" i="5"/>
  <c r="V27" i="5"/>
  <c r="N16" i="3" s="1"/>
  <c r="O16" i="3" s="1"/>
  <c r="V41" i="5"/>
  <c r="N33" i="3" s="1"/>
  <c r="O33" i="3" s="1"/>
  <c r="V38" i="5"/>
  <c r="N27" i="3" s="1"/>
  <c r="O27" i="3" s="1"/>
  <c r="V35" i="5"/>
  <c r="N24" i="3" s="1"/>
  <c r="O24" i="3" s="1"/>
  <c r="V26" i="5"/>
  <c r="N12" i="3" s="1"/>
  <c r="O12" i="3" s="1"/>
  <c r="V39" i="5"/>
  <c r="N31" i="3" s="1"/>
  <c r="O31" i="3" s="1"/>
  <c r="V37" i="5"/>
  <c r="N26" i="3" s="1"/>
  <c r="O26" i="3" s="1"/>
  <c r="V25" i="5"/>
  <c r="N11" i="3" s="1"/>
  <c r="O11" i="3" s="1"/>
  <c r="V29" i="5"/>
  <c r="N18" i="3" s="1"/>
  <c r="O18" i="3" s="1"/>
  <c r="V30" i="5"/>
  <c r="N19" i="3" s="1"/>
  <c r="O19" i="3" s="1"/>
  <c r="V28" i="5"/>
  <c r="N17" i="3" s="1"/>
  <c r="O17" i="3" s="1"/>
  <c r="V32" i="5"/>
  <c r="N21" i="3" s="1"/>
  <c r="O21" i="3" s="1"/>
  <c r="V40" i="5"/>
  <c r="N32" i="3" s="1"/>
  <c r="O32" i="3" s="1"/>
  <c r="V31" i="5"/>
  <c r="N20" i="3" s="1"/>
  <c r="O20" i="3" s="1"/>
  <c r="J50" i="2"/>
  <c r="J52" i="2" s="1"/>
  <c r="J43" i="2"/>
  <c r="J42" i="2"/>
  <c r="J45" i="2"/>
  <c r="D25" i="2"/>
  <c r="G10" i="12" s="1"/>
  <c r="G53" i="2"/>
  <c r="J44" i="2"/>
  <c r="J41" i="2"/>
  <c r="J46" i="2"/>
  <c r="J47" i="2"/>
  <c r="J40" i="2"/>
  <c r="D266" i="6" l="1"/>
  <c r="F84" i="12" s="1"/>
  <c r="F83" i="12"/>
  <c r="N10" i="3"/>
  <c r="O10" i="3" s="1"/>
  <c r="Q37" i="3" s="1"/>
  <c r="J273" i="6"/>
  <c r="B14" i="9" l="1"/>
  <c r="G42" i="12"/>
  <c r="X7" i="3"/>
  <c r="E15" i="9"/>
  <c r="E25" i="9" s="1"/>
  <c r="B15" i="9"/>
  <c r="E14" i="9"/>
  <c r="E21" i="9" s="1"/>
  <c r="X12" i="3" l="1"/>
  <c r="AC12" i="3" s="1"/>
  <c r="G52" i="12" s="1"/>
  <c r="D48" i="12"/>
  <c r="X11" i="3"/>
  <c r="X8" i="3"/>
  <c r="X10" i="3"/>
  <c r="X9" i="3"/>
  <c r="E22" i="9"/>
  <c r="E20" i="9"/>
  <c r="E19" i="9"/>
  <c r="E23" i="9"/>
  <c r="AC10" i="3" l="1"/>
  <c r="G50" i="12" s="1"/>
  <c r="D51" i="12"/>
  <c r="AC8" i="3"/>
  <c r="G48" i="12" s="1"/>
  <c r="D49" i="12"/>
  <c r="AC11" i="3"/>
  <c r="G51" i="12" s="1"/>
  <c r="D52" i="12"/>
  <c r="AC9" i="3"/>
  <c r="G49" i="12" s="1"/>
  <c r="D50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Usuario</author>
    <author>Alfredo</author>
  </authors>
  <commentList>
    <comment ref="C6" authorId="0" shapeId="0" xr:uid="{54231C1B-5F84-45E9-87FE-CA95634F0798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Incluyendo espesor del piso y del techo. En techos inclinados, poner altura media</t>
        </r>
      </text>
    </comment>
    <comment ref="A21" authorId="1" shapeId="0" xr:uid="{00000000-0006-0000-0100-000001000000}">
      <text>
        <r>
          <rPr>
            <b/>
            <sz val="9"/>
            <color indexed="81"/>
            <rFont val="Tahoma"/>
            <family val="2"/>
          </rPr>
          <t>Alfredo:</t>
        </r>
        <r>
          <rPr>
            <sz val="9"/>
            <color indexed="81"/>
            <rFont val="Tahoma"/>
            <family val="2"/>
          </rPr>
          <t xml:space="preserve">
Correspondiente a los muros expuestos, donde haya colindancia, no contabilizarlos y sólo se calcula en PB.
</t>
        </r>
      </text>
    </comment>
    <comment ref="A23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>Alfredo:</t>
        </r>
        <r>
          <rPr>
            <sz val="9"/>
            <color indexed="81"/>
            <rFont val="Tahoma"/>
            <family val="2"/>
          </rPr>
          <t xml:space="preserve">
Eliminando superficie de garages o lavanderías que no se calefaccionan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LAHV-CRICYT</author>
    <author>AlfredoE</author>
    <author>Alfredo Esteves</author>
    <author>Esteves</author>
  </authors>
  <commentList>
    <comment ref="Z6" authorId="0" shapeId="0" xr:uid="{00000000-0006-0000-0200-000001000000}">
      <text>
        <r>
          <rPr>
            <u/>
            <sz val="8"/>
            <color indexed="81"/>
            <rFont val="Tahoma"/>
            <family val="2"/>
          </rPr>
          <t>Rendimientos típicos:</t>
        </r>
        <r>
          <rPr>
            <sz val="8"/>
            <color indexed="81"/>
            <rFont val="Tahoma"/>
            <family val="2"/>
          </rPr>
          <t xml:space="preserve">
1.00 para infrarrojos 
1.00 para calefacción por energía eléctrica.
0.75 para estufas de tiro balanceado 
0,75 para estufas a leña de alto rendimiento.
0.40 para hogares a leña 
0,50 para salamandras a leña
0.85 calefacción central por radiadores y/o piso radiante a gas.</t>
        </r>
      </text>
    </comment>
    <comment ref="AB8" authorId="1" shapeId="0" xr:uid="{51F3E5CD-30AA-4409-8E08-0843BB747B25}">
      <text>
        <r>
          <rPr>
            <sz val="9"/>
            <color indexed="81"/>
            <rFont val="Tahoma"/>
            <family val="2"/>
          </rPr>
          <t>$/kg</t>
        </r>
      </text>
    </comment>
    <comment ref="L9" authorId="0" shapeId="0" xr:uid="{00000000-0006-0000-0200-000003000000}">
      <text>
        <r>
          <rPr>
            <sz val="8"/>
            <color indexed="81"/>
            <rFont val="Tahoma"/>
            <family val="2"/>
          </rPr>
          <t xml:space="preserve">Ganancia Directa con un solo vidrio y sin aislacion nocturna.
</t>
        </r>
      </text>
    </comment>
    <comment ref="AB9" authorId="1" shapeId="0" xr:uid="{3076F3D1-8615-4590-AA24-0399581B8D4C}">
      <text>
        <r>
          <rPr>
            <sz val="9"/>
            <color indexed="81"/>
            <rFont val="Tahoma"/>
            <family val="2"/>
          </rPr>
          <t>$/kg</t>
        </r>
      </text>
    </comment>
    <comment ref="D10" authorId="2" shapeId="0" xr:uid="{00000000-0006-0000-0200-000005000000}">
      <text>
        <r>
          <rPr>
            <b/>
            <sz val="8"/>
            <color indexed="81"/>
            <rFont val="Tahoma"/>
            <family val="2"/>
          </rPr>
          <t>Observar el valor en Kcomp, sino calcularlo en Kcomp al final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L10" authorId="0" shapeId="0" xr:uid="{00000000-0006-0000-0200-000006000000}">
      <text>
        <r>
          <rPr>
            <b/>
            <sz val="8"/>
            <color indexed="81"/>
            <rFont val="Tahoma"/>
            <family val="2"/>
          </rPr>
          <t>Ganancia Directa con dos vidrios (DVH) y sin aislacion nocturna.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B10" authorId="1" shapeId="0" xr:uid="{0A8A9A72-784E-4016-A61F-CA6A53E5D9DF}">
      <text>
        <r>
          <rPr>
            <b/>
            <sz val="9"/>
            <color indexed="81"/>
            <rFont val="Tahoma"/>
            <family val="2"/>
          </rPr>
          <t>$/m3</t>
        </r>
        <r>
          <rPr>
            <sz val="9"/>
            <color indexed="81"/>
            <rFont val="Tahoma"/>
            <family val="2"/>
          </rPr>
          <t xml:space="preserve">
Aquí debe tener en cuenta que esto puede ser variable con el consumo, verifique</t>
        </r>
      </text>
    </comment>
    <comment ref="D11" authorId="2" shapeId="0" xr:uid="{00000000-0006-0000-0200-000008000000}">
      <text>
        <r>
          <rPr>
            <b/>
            <sz val="8"/>
            <color indexed="81"/>
            <rFont val="Tahoma"/>
            <family val="2"/>
          </rPr>
          <t>Observar el valor en Kcomp, sino calcularlo en Kcomp al final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L11" authorId="0" shapeId="0" xr:uid="{00000000-0006-0000-0200-000009000000}">
      <text>
        <r>
          <rPr>
            <sz val="8"/>
            <color indexed="81"/>
            <rFont val="Tahoma"/>
            <family val="2"/>
          </rPr>
          <t>Ganancia Directa con un solo vidrio más aislación nocturna</t>
        </r>
      </text>
    </comment>
    <comment ref="AB11" authorId="1" shapeId="0" xr:uid="{ACE74C54-F65B-411D-B74F-2066123E453E}">
      <text>
        <r>
          <rPr>
            <b/>
            <sz val="9"/>
            <color indexed="81"/>
            <rFont val="Tahoma"/>
            <family val="2"/>
          </rPr>
          <t>$/litro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2" authorId="2" shapeId="0" xr:uid="{00000000-0006-0000-0200-00000B000000}">
      <text>
        <r>
          <rPr>
            <b/>
            <sz val="8"/>
            <color indexed="81"/>
            <rFont val="Tahoma"/>
            <family val="2"/>
          </rPr>
          <t>Observar el valor en Kcomp, sino calcularlo en Kcomp al final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L12" authorId="0" shapeId="0" xr:uid="{00000000-0006-0000-0200-00000C000000}">
      <text>
        <r>
          <rPr>
            <sz val="8"/>
            <color indexed="81"/>
            <rFont val="Tahoma"/>
            <family val="2"/>
          </rPr>
          <t xml:space="preserve">Ganancia Directa con 2 vidrios (DVH) más aislación nocturna </t>
        </r>
      </text>
    </comment>
    <comment ref="AB12" authorId="1" shapeId="0" xr:uid="{C2C65489-3ADE-4F79-8F9F-0131686AB760}">
      <text>
        <r>
          <rPr>
            <b/>
            <sz val="9"/>
            <color indexed="81"/>
            <rFont val="Tahoma"/>
            <family val="2"/>
          </rPr>
          <t>$/kg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3" authorId="2" shapeId="0" xr:uid="{00000000-0006-0000-0200-00000E000000}">
      <text>
        <r>
          <rPr>
            <sz val="8"/>
            <color indexed="81"/>
            <rFont val="Tahoma"/>
            <family val="2"/>
          </rPr>
          <t>Observar el valor en Kcomp, sino calcularlo en Kcomp al final</t>
        </r>
      </text>
    </comment>
    <comment ref="D14" authorId="2" shapeId="0" xr:uid="{00000000-0006-0000-0200-00000F000000}">
      <text>
        <r>
          <rPr>
            <b/>
            <sz val="8"/>
            <color indexed="81"/>
            <rFont val="Tahoma"/>
            <family val="2"/>
          </rPr>
          <t>Observar el valor en Kcomp, sino calcularlo en Kcomp al final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15" authorId="2" shapeId="0" xr:uid="{00000000-0006-0000-0200-000010000000}">
      <text>
        <r>
          <rPr>
            <b/>
            <sz val="8"/>
            <color indexed="81"/>
            <rFont val="Tahoma"/>
            <family val="2"/>
          </rPr>
          <t>Observar el valor en Kcomp, sino calcularlo en Kcomp al final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16" authorId="2" shapeId="0" xr:uid="{00000000-0006-0000-0200-000011000000}">
      <text>
        <r>
          <rPr>
            <b/>
            <sz val="8"/>
            <color indexed="81"/>
            <rFont val="Tahoma"/>
            <family val="2"/>
          </rPr>
          <t xml:space="preserve">0 para fundaciones no aisladas térmicamente.
Para fundaciones con aislación térmica colocar la conductancia térmica ver en Kcomp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L16" authorId="0" shapeId="0" xr:uid="{00000000-0006-0000-0200-000012000000}">
      <text>
        <r>
          <rPr>
            <sz val="8"/>
            <color indexed="81"/>
            <rFont val="Tahoma"/>
            <family val="2"/>
          </rPr>
          <t>Muro Trombe de Hormigón con un solo vidrio y sin aislación nocturna.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L17" authorId="0" shapeId="0" xr:uid="{00000000-0006-0000-0200-000013000000}">
      <text>
        <r>
          <rPr>
            <sz val="8"/>
            <color indexed="81"/>
            <rFont val="Tahoma"/>
            <family val="2"/>
          </rPr>
          <t xml:space="preserve">Muro Trombe de hormigón con 1 vidrio más aislación nocturna
</t>
        </r>
      </text>
    </comment>
    <comment ref="L18" authorId="0" shapeId="0" xr:uid="{00000000-0006-0000-0200-000014000000}">
      <text>
        <r>
          <rPr>
            <sz val="8"/>
            <color indexed="81"/>
            <rFont val="Tahoma"/>
            <family val="2"/>
          </rPr>
          <t>Muro trombe con 2 vidrios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Y18" authorId="2" shapeId="0" xr:uid="{00000000-0006-0000-0200-000015000000}">
      <text>
        <r>
          <rPr>
            <b/>
            <sz val="8"/>
            <color indexed="81"/>
            <rFont val="Tahoma"/>
            <family val="2"/>
          </rPr>
          <t>Observar el valor en Kcomp, sino calcularlo en Kcomp al final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19" authorId="1" shapeId="0" xr:uid="{00000000-0006-0000-0200-000016000000}">
      <text>
        <r>
          <rPr>
            <b/>
            <sz val="9"/>
            <color indexed="81"/>
            <rFont val="Tahoma"/>
            <family val="2"/>
          </rPr>
          <t>AlfredoE:</t>
        </r>
        <r>
          <rPr>
            <sz val="9"/>
            <color indexed="81"/>
            <rFont val="Tahoma"/>
            <family val="2"/>
          </rPr>
          <t xml:space="preserve">
Densidad relativa del aire (adimensional). Se calcula a partir de la altitud s.n.m.
</t>
        </r>
      </text>
    </comment>
    <comment ref="L19" authorId="0" shapeId="0" xr:uid="{00000000-0006-0000-0200-000017000000}">
      <text>
        <r>
          <rPr>
            <sz val="8"/>
            <color indexed="81"/>
            <rFont val="Tahoma"/>
            <family val="2"/>
          </rPr>
          <t>Muro Trombe Hormigón con 2 vidrios más aislación nocturna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Y19" authorId="2" shapeId="0" xr:uid="{00000000-0006-0000-0200-000018000000}">
      <text>
        <r>
          <rPr>
            <b/>
            <sz val="8"/>
            <color indexed="81"/>
            <rFont val="Tahoma"/>
            <family val="2"/>
          </rPr>
          <t>Observar el valor en Kcomp, sino calcularlo en Kcomp al final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20" authorId="1" shapeId="0" xr:uid="{00000000-0006-0000-0200-000019000000}">
      <text>
        <r>
          <rPr>
            <sz val="9"/>
            <color indexed="81"/>
            <rFont val="Tahoma"/>
            <family val="2"/>
          </rPr>
          <t xml:space="preserve">Renovaciones de Aire por hora
</t>
        </r>
      </text>
    </comment>
    <comment ref="D20" authorId="2" shapeId="0" xr:uid="{00000000-0006-0000-0200-00001A000000}">
      <text>
        <r>
          <rPr>
            <b/>
            <sz val="8"/>
            <color indexed="81"/>
            <rFont val="Tahoma"/>
            <family val="2"/>
          </rPr>
          <t>RAH= 3 para ventanas con simple contacto y sin burletes
RAH= 1.5 para puertas y ventanas con simple contacto y burletes
RAH= 1.5 para puertas y ventanas con doble contacto sin burletes
RAH= 0.5 para puertas y ventanas con doble contacto y burletes en ellos.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L20" authorId="0" shapeId="0" xr:uid="{00000000-0006-0000-0200-00001B000000}">
      <text>
        <r>
          <rPr>
            <sz val="8"/>
            <color indexed="81"/>
            <rFont val="Tahoma"/>
            <family val="2"/>
          </rPr>
          <t xml:space="preserve">Muro Trombe de ladrillo con dos vidrios
</t>
        </r>
      </text>
    </comment>
    <comment ref="L21" authorId="0" shapeId="0" xr:uid="{00000000-0006-0000-0200-00001C000000}">
      <text>
        <r>
          <rPr>
            <b/>
            <sz val="8"/>
            <color indexed="81"/>
            <rFont val="Tahoma"/>
            <family val="2"/>
          </rPr>
          <t>Muro Trombe de Adobe con dos vidrios</t>
        </r>
      </text>
    </comment>
    <comment ref="L22" authorId="3" shapeId="0" xr:uid="{00000000-0006-0000-0200-00001D000000}">
      <text>
        <r>
          <rPr>
            <b/>
            <sz val="8"/>
            <color indexed="81"/>
            <rFont val="Tahoma"/>
            <family val="2"/>
          </rPr>
          <t>Muro Trombe de bloques de hormigón rellenos con hormigón pobre, con vidrio simple sin aislación nocturna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L23" authorId="3" shapeId="0" xr:uid="{00000000-0006-0000-0200-00001E000000}">
      <text>
        <r>
          <rPr>
            <b/>
            <sz val="8"/>
            <color indexed="81"/>
            <rFont val="Tahoma"/>
            <family val="2"/>
          </rPr>
          <t>Muro Trombe de bloques de hormigón rellenos con hormigón pobre, con DVH sin aislación nocturna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L24" authorId="0" shapeId="0" xr:uid="{00000000-0006-0000-0200-00001F000000}">
      <text>
        <r>
          <rPr>
            <b/>
            <sz val="8"/>
            <color indexed="81"/>
            <rFont val="Tahoma"/>
            <family val="2"/>
          </rPr>
          <t>Muro de agua de 22 cm promedio y un solo vidrio.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L25" authorId="0" shapeId="0" xr:uid="{00000000-0006-0000-0200-000020000000}">
      <text>
        <r>
          <rPr>
            <b/>
            <sz val="8"/>
            <color indexed="81"/>
            <rFont val="Tahoma"/>
            <family val="2"/>
          </rPr>
          <t>Muro de agua de 22 cm promedio con doble vidriado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L26" authorId="0" shapeId="0" xr:uid="{00000000-0006-0000-0200-000021000000}">
      <text>
        <r>
          <rPr>
            <b/>
            <sz val="8"/>
            <color indexed="81"/>
            <rFont val="Tahoma"/>
            <family val="2"/>
          </rPr>
          <t>Muro de agua de 22 cm promedio con un solo vidrio y aisl. nocturna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L27" authorId="0" shapeId="0" xr:uid="{00000000-0006-0000-0200-000022000000}">
      <text>
        <r>
          <rPr>
            <b/>
            <sz val="8"/>
            <color indexed="81"/>
            <rFont val="Tahoma"/>
            <family val="2"/>
          </rPr>
          <t>Muro de agua de 22 cm promedio con doble vidriado y aisl. nocturna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L31" authorId="0" shapeId="0" xr:uid="{00000000-0006-0000-0200-000023000000}">
      <text>
        <r>
          <rPr>
            <sz val="8"/>
            <color indexed="81"/>
            <rFont val="Tahoma"/>
            <family val="2"/>
          </rPr>
          <t>Invernadero Adosado con muro macizo, aventanamiento vertical y techo vidriado a 30°</t>
        </r>
      </text>
    </comment>
    <comment ref="L32" authorId="0" shapeId="0" xr:uid="{00000000-0006-0000-0200-000024000000}">
      <text>
        <r>
          <rPr>
            <sz val="8"/>
            <color indexed="81"/>
            <rFont val="Tahoma"/>
            <family val="2"/>
          </rPr>
          <t>Invernadero adosado con muro posterior aislado térmicamente. Con aventanamiento vertical y techo vidriado inclinado a 30°.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L33" authorId="0" shapeId="0" xr:uid="{00000000-0006-0000-0200-000025000000}">
      <text>
        <r>
          <rPr>
            <sz val="8"/>
            <color indexed="81"/>
            <rFont val="Tahoma"/>
            <family val="2"/>
          </rPr>
          <t>Invernadero Integrado con muro macizo, aventanamiento vertical y techo vidriado a 30° y con aislación nocturna.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L34" authorId="0" shapeId="0" xr:uid="{00000000-0006-0000-0200-000026000000}">
      <text>
        <r>
          <rPr>
            <sz val="8"/>
            <color indexed="81"/>
            <rFont val="Tahoma"/>
            <family val="2"/>
          </rPr>
          <t>Invernadero Integrado con muro macizo, sólo aventanamiento vertical  y con aislación nocturna.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AlfredoE</author>
  </authors>
  <commentList>
    <comment ref="H15" authorId="0" shapeId="0" xr:uid="{00000000-0006-0000-0300-000001000000}">
      <text>
        <r>
          <rPr>
            <b/>
            <sz val="8"/>
            <color indexed="81"/>
            <rFont val="Tahoma"/>
            <family val="2"/>
          </rPr>
          <t>colocar espesor en metros, si no hay mas capas poner 0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M15" authorId="0" shapeId="0" xr:uid="{00000000-0006-0000-0300-000002000000}">
      <text>
        <r>
          <rPr>
            <b/>
            <sz val="8"/>
            <color indexed="81"/>
            <rFont val="Tahoma"/>
            <family val="2"/>
          </rPr>
          <t>colocar espesor en metros, si no hay mas capas poner 0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16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colocar espesor en metros, si no hay mas capas poner 0</t>
        </r>
      </text>
    </comment>
    <comment ref="M16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colocar espesor en metros, si no hay mas capas poner 0</t>
        </r>
      </text>
    </comment>
    <comment ref="H17" authorId="0" shapeId="0" xr:uid="{00000000-0006-0000-0300-000005000000}">
      <text>
        <r>
          <rPr>
            <b/>
            <sz val="9"/>
            <color indexed="81"/>
            <rFont val="Tahoma"/>
            <family val="2"/>
          </rPr>
          <t>colocar espesor en metros, si no hay mas capas poner 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17" authorId="0" shapeId="0" xr:uid="{00000000-0006-0000-0300-000006000000}">
      <text>
        <r>
          <rPr>
            <b/>
            <sz val="9"/>
            <color indexed="81"/>
            <rFont val="Tahoma"/>
            <family val="2"/>
          </rPr>
          <t>colocar espesor en metros, si no hay mas capas poner 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18" authorId="0" shapeId="0" xr:uid="{00000000-0006-0000-0300-000007000000}">
      <text>
        <r>
          <rPr>
            <b/>
            <sz val="9"/>
            <color indexed="81"/>
            <rFont val="Tahoma"/>
            <family val="2"/>
          </rPr>
          <t>colocar espesor en metros, si no hay mas capas poner 0</t>
        </r>
      </text>
    </comment>
    <comment ref="M18" authorId="0" shapeId="0" xr:uid="{00000000-0006-0000-0300-000008000000}">
      <text>
        <r>
          <rPr>
            <b/>
            <sz val="9"/>
            <color indexed="81"/>
            <rFont val="Tahoma"/>
            <family val="2"/>
          </rPr>
          <t>colocar espesor en metros, si no hay mas capas poner 0</t>
        </r>
      </text>
    </comment>
    <comment ref="H19" authorId="0" shapeId="0" xr:uid="{00000000-0006-0000-0300-000009000000}">
      <text>
        <r>
          <rPr>
            <b/>
            <sz val="9"/>
            <color indexed="81"/>
            <rFont val="Tahoma"/>
            <family val="2"/>
          </rPr>
          <t>colocar espesor en metros, si no hay mas capas poner 0</t>
        </r>
      </text>
    </comment>
    <comment ref="M19" authorId="0" shapeId="0" xr:uid="{00000000-0006-0000-0300-00000A000000}">
      <text>
        <r>
          <rPr>
            <b/>
            <sz val="9"/>
            <color indexed="81"/>
            <rFont val="Tahoma"/>
            <family val="2"/>
          </rPr>
          <t>colocar espesor en metros, si no hay mas capas poner 0</t>
        </r>
      </text>
    </comment>
    <comment ref="H20" authorId="0" shapeId="0" xr:uid="{00000000-0006-0000-0300-00000B000000}">
      <text>
        <r>
          <rPr>
            <b/>
            <sz val="9"/>
            <color indexed="81"/>
            <rFont val="Tahoma"/>
            <family val="2"/>
          </rPr>
          <t>colocar espesor en metros, si no hay mas capas poner 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20" authorId="0" shapeId="0" xr:uid="{00000000-0006-0000-0300-00000C000000}">
      <text>
        <r>
          <rPr>
            <b/>
            <sz val="9"/>
            <color indexed="81"/>
            <rFont val="Tahoma"/>
            <family val="2"/>
          </rPr>
          <t>colocar espesor en metros, si no hay mas capas poner 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21" authorId="0" shapeId="0" xr:uid="{00000000-0006-0000-0300-00000D000000}">
      <text>
        <r>
          <rPr>
            <b/>
            <sz val="9"/>
            <color indexed="81"/>
            <rFont val="Tahoma"/>
            <family val="2"/>
          </rPr>
          <t>colocar espesor en metros, si no hay mas capas poner 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21" authorId="0" shapeId="0" xr:uid="{00000000-0006-0000-0300-00000E000000}">
      <text>
        <r>
          <rPr>
            <b/>
            <sz val="9"/>
            <color indexed="81"/>
            <rFont val="Tahoma"/>
            <family val="2"/>
          </rPr>
          <t>colocar espesor en metros, si no hay mas capas poner 0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Alfredo Esteves</author>
  </authors>
  <commentList>
    <comment ref="B92" authorId="0" shapeId="0" xr:uid="{00000000-0006-0000-0500-000001000000}">
      <text>
        <r>
          <rPr>
            <b/>
            <sz val="8"/>
            <color indexed="81"/>
            <rFont val="Tahoma"/>
            <family val="2"/>
          </rPr>
          <t>colocar en función de la tabla adjunta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92" authorId="0" shapeId="0" xr:uid="{00000000-0006-0000-0500-000002000000}">
      <text>
        <r>
          <rPr>
            <sz val="8"/>
            <color indexed="81"/>
            <rFont val="Tahoma"/>
            <family val="2"/>
          </rPr>
          <t xml:space="preserve">colocar en función de la tabla adjunta
</t>
        </r>
      </text>
    </comment>
    <comment ref="D92" authorId="0" shapeId="0" xr:uid="{00000000-0006-0000-0500-000003000000}">
      <text>
        <r>
          <rPr>
            <b/>
            <sz val="8"/>
            <color indexed="81"/>
            <rFont val="Tahoma"/>
            <family val="2"/>
          </rPr>
          <t xml:space="preserve">colocar en función de la tabla adjunta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92" authorId="0" shapeId="0" xr:uid="{00000000-0006-0000-0500-000004000000}">
      <text>
        <r>
          <rPr>
            <b/>
            <sz val="8"/>
            <color indexed="81"/>
            <rFont val="Tahoma"/>
            <family val="2"/>
          </rPr>
          <t xml:space="preserve">colocar en función de la tabla adjunta
</t>
        </r>
      </text>
    </comment>
    <comment ref="F92" authorId="0" shapeId="0" xr:uid="{00000000-0006-0000-0500-000005000000}">
      <text>
        <r>
          <rPr>
            <b/>
            <sz val="8"/>
            <color indexed="81"/>
            <rFont val="Tahoma"/>
            <family val="2"/>
          </rPr>
          <t xml:space="preserve">colocar en función de la tabla adjunta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92" authorId="0" shapeId="0" xr:uid="{00000000-0006-0000-0500-000006000000}">
      <text>
        <r>
          <rPr>
            <b/>
            <sz val="8"/>
            <color indexed="81"/>
            <rFont val="Tahoma"/>
            <family val="2"/>
          </rPr>
          <t xml:space="preserve">colocar en función de la tabla adjunta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92" authorId="0" shapeId="0" xr:uid="{00000000-0006-0000-0500-000007000000}">
      <text>
        <r>
          <rPr>
            <b/>
            <sz val="8"/>
            <color indexed="81"/>
            <rFont val="Tahoma"/>
            <family val="2"/>
          </rPr>
          <t xml:space="preserve">colocar en función de la tabla adjunta
</t>
        </r>
      </text>
    </comment>
    <comment ref="I92" authorId="0" shapeId="0" xr:uid="{00000000-0006-0000-0500-000008000000}">
      <text>
        <r>
          <rPr>
            <b/>
            <sz val="8"/>
            <color indexed="81"/>
            <rFont val="Tahoma"/>
            <family val="2"/>
          </rPr>
          <t xml:space="preserve">colocar en función de la tabla adjunta
</t>
        </r>
      </text>
    </comment>
    <comment ref="G266" authorId="0" shapeId="0" xr:uid="{00000000-0006-0000-0500-000009000000}">
      <text>
        <r>
          <rPr>
            <b/>
            <sz val="8"/>
            <color indexed="81"/>
            <rFont val="Tahoma"/>
            <family val="2"/>
          </rPr>
          <t>colocar la temperatura de confort interior (se sugiere la máxima)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266" authorId="0" shapeId="0" xr:uid="{00000000-0006-0000-0500-00000A000000}">
      <text>
        <r>
          <rPr>
            <b/>
            <sz val="8"/>
            <color indexed="81"/>
            <rFont val="Tahoma"/>
            <family val="2"/>
          </rPr>
          <t>colocar la temperatura de confort interior (se sugiere la máxima)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Alfredo</author>
  </authors>
  <commentList>
    <comment ref="B10" authorId="0" shapeId="0" xr:uid="{00000000-0006-0000-0A00-000001000000}">
      <text>
        <r>
          <rPr>
            <b/>
            <sz val="9"/>
            <color indexed="81"/>
            <rFont val="Tahoma"/>
            <family val="2"/>
          </rPr>
          <t>Alfredo:</t>
        </r>
        <r>
          <rPr>
            <sz val="9"/>
            <color indexed="81"/>
            <rFont val="Tahoma"/>
            <family val="2"/>
          </rPr>
          <t xml:space="preserve">
Superficie de envolvente / superficie cubierta a calefaccionar</t>
        </r>
      </text>
    </comment>
    <comment ref="B11" authorId="0" shapeId="0" xr:uid="{00000000-0006-0000-0A00-000002000000}">
      <text>
        <r>
          <rPr>
            <b/>
            <sz val="9"/>
            <color indexed="81"/>
            <rFont val="Tahoma"/>
            <family val="2"/>
          </rPr>
          <t>Alfredo:</t>
        </r>
        <r>
          <rPr>
            <sz val="9"/>
            <color indexed="81"/>
            <rFont val="Tahoma"/>
            <family val="2"/>
          </rPr>
          <t xml:space="preserve">
Superficie de envolvente horizontal o inclinada / superfiie cubierta a calefaccionar</t>
        </r>
      </text>
    </comment>
    <comment ref="B12" authorId="0" shapeId="0" xr:uid="{00000000-0006-0000-0A00-000003000000}">
      <text>
        <r>
          <rPr>
            <b/>
            <sz val="9"/>
            <color indexed="81"/>
            <rFont val="Tahoma"/>
            <family val="2"/>
          </rPr>
          <t>Alfredo:</t>
        </r>
        <r>
          <rPr>
            <sz val="9"/>
            <color indexed="81"/>
            <rFont val="Tahoma"/>
            <family val="2"/>
          </rPr>
          <t xml:space="preserve">
Superficie de envolvente vertical / superfiie cubierta a calefaccionar
</t>
        </r>
      </text>
    </comment>
    <comment ref="B13" authorId="0" shapeId="0" xr:uid="{00000000-0006-0000-0A00-000004000000}">
      <text>
        <r>
          <rPr>
            <b/>
            <sz val="9"/>
            <color indexed="81"/>
            <rFont val="Tahoma"/>
            <family val="2"/>
          </rPr>
          <t>Alfredo:</t>
        </r>
        <r>
          <rPr>
            <sz val="9"/>
            <color indexed="81"/>
            <rFont val="Tahoma"/>
            <family val="2"/>
          </rPr>
          <t xml:space="preserve">
Superficie de envolvente / volumen interior 
</t>
        </r>
      </text>
    </comment>
    <comment ref="G42" authorId="0" shapeId="0" xr:uid="{00000000-0006-0000-0A00-000005000000}">
      <text>
        <r>
          <rPr>
            <b/>
            <sz val="9"/>
            <color indexed="81"/>
            <rFont val="Tahoma"/>
            <family val="2"/>
          </rPr>
          <t>Alfredo:</t>
        </r>
        <r>
          <rPr>
            <sz val="9"/>
            <color indexed="81"/>
            <rFont val="Tahoma"/>
            <family val="2"/>
          </rPr>
          <t xml:space="preserve">
Cantidad de energía anual necesaria aportada por el sol (en %)</t>
        </r>
      </text>
    </comment>
    <comment ref="G46" authorId="0" shapeId="0" xr:uid="{00000000-0006-0000-0A00-000006000000}">
      <text>
        <r>
          <rPr>
            <b/>
            <sz val="9"/>
            <color indexed="81"/>
            <rFont val="Tahoma"/>
            <family val="2"/>
          </rPr>
          <t>Alfredo:</t>
        </r>
        <r>
          <rPr>
            <sz val="9"/>
            <color indexed="81"/>
            <rFont val="Tahoma"/>
            <family val="2"/>
          </rPr>
          <t xml:space="preserve">
Revisar el rendimiento en solapa balance de calefaccion para ajustar al combustible utilizado</t>
        </r>
      </text>
    </comment>
  </commentList>
</comments>
</file>

<file path=xl/sharedStrings.xml><?xml version="1.0" encoding="utf-8"?>
<sst xmlns="http://schemas.openxmlformats.org/spreadsheetml/2006/main" count="1562" uniqueCount="733">
  <si>
    <t>Total</t>
  </si>
  <si>
    <t>Norte</t>
  </si>
  <si>
    <t xml:space="preserve"> </t>
  </si>
  <si>
    <t>Este</t>
  </si>
  <si>
    <t>Oeste</t>
  </si>
  <si>
    <t>Sur</t>
  </si>
  <si>
    <t>Techos</t>
  </si>
  <si>
    <t>Componente</t>
  </si>
  <si>
    <t>Area (A)</t>
  </si>
  <si>
    <t>Conductancia (K)</t>
  </si>
  <si>
    <t>(A).(K)</t>
  </si>
  <si>
    <t>%</t>
  </si>
  <si>
    <t>Observaciones</t>
  </si>
  <si>
    <t>Fundaciones</t>
  </si>
  <si>
    <t>Infiltracion</t>
  </si>
  <si>
    <t>CNP</t>
  </si>
  <si>
    <t>´(A).(K)</t>
  </si>
  <si>
    <t>Vent. norte</t>
  </si>
  <si>
    <t>Vent. este y oeste</t>
  </si>
  <si>
    <t>CGP</t>
  </si>
  <si>
    <t xml:space="preserve">RCC = </t>
  </si>
  <si>
    <t>QAA:</t>
  </si>
  <si>
    <t>Ventanas</t>
  </si>
  <si>
    <t>Tipo1</t>
  </si>
  <si>
    <t>Tipo 2</t>
  </si>
  <si>
    <t>Volumen</t>
  </si>
  <si>
    <t>m3</t>
  </si>
  <si>
    <t>m²</t>
  </si>
  <si>
    <t>Pisos</t>
  </si>
  <si>
    <t>Cómputo de superficies y volumenes</t>
  </si>
  <si>
    <t>Descripcion</t>
  </si>
  <si>
    <t>Resist.Total</t>
  </si>
  <si>
    <t>Aislantes térmicos</t>
  </si>
  <si>
    <t>espesor 2.5 cm</t>
  </si>
  <si>
    <t>espesor 5 cm</t>
  </si>
  <si>
    <t>espesor 7.5 cm</t>
  </si>
  <si>
    <t>espesor 10 cm</t>
  </si>
  <si>
    <t>sin aislación</t>
  </si>
  <si>
    <t>El aislante podrá ir incorporado al techo</t>
  </si>
  <si>
    <t>al muro o a la fundación</t>
  </si>
  <si>
    <t>sin aislación con camara de aire</t>
  </si>
  <si>
    <t>espesor 1 cm</t>
  </si>
  <si>
    <t>tipo expandido</t>
  </si>
  <si>
    <t>Tipo rígido</t>
  </si>
  <si>
    <t xml:space="preserve"> - Lana de vidrio o telgopor</t>
  </si>
  <si>
    <t>15 kg/m3</t>
  </si>
  <si>
    <t xml:space="preserve"> - Poliuretano expandido o rígido 30 kg/m3</t>
  </si>
  <si>
    <t>Planchas de corcho - 300 kg/m3</t>
  </si>
  <si>
    <t>espesor 2 mm</t>
  </si>
  <si>
    <t>Cemento + perlita expandida 700 kg/m3</t>
  </si>
  <si>
    <t>espesor 3 mm</t>
  </si>
  <si>
    <t>espesor 5 mm</t>
  </si>
  <si>
    <t>espesor 15 cm</t>
  </si>
  <si>
    <t>Maderas</t>
  </si>
  <si>
    <t>espesor 1/2 "</t>
  </si>
  <si>
    <t>espesor 3/4 "</t>
  </si>
  <si>
    <t>espesor 1"</t>
  </si>
  <si>
    <t>espesor 2"</t>
  </si>
  <si>
    <t>Madera de roble</t>
  </si>
  <si>
    <t>Para madera de pino (700 kg/m3) multiplicar valores anteriores por 0.2/0.15</t>
  </si>
  <si>
    <t>Para madera de álamo (500 kg/m3) multiplicar valores anteriores por 0.2/0.12</t>
  </si>
  <si>
    <t>Para madera de ábedul (600 kg/m3) multiplicar valores anteriores por 0.2/0.125</t>
  </si>
  <si>
    <t>Para parquet utilizar valores para maderass de roble</t>
  </si>
  <si>
    <t>revocado ambas caras</t>
  </si>
  <si>
    <t>ladrillo visto ambas caras s/camara de aire</t>
  </si>
  <si>
    <t>ladrillo visto ambas caras c/camara de aire</t>
  </si>
  <si>
    <t>otra cara bolseado</t>
  </si>
  <si>
    <t>otra cara visto</t>
  </si>
  <si>
    <t>Normal H° ciclópeo</t>
  </si>
  <si>
    <t>Muro 1</t>
  </si>
  <si>
    <t>Muro 2</t>
  </si>
  <si>
    <t>Techo 1</t>
  </si>
  <si>
    <t>Techo 2</t>
  </si>
  <si>
    <t>Ventanas sur tipo 1</t>
  </si>
  <si>
    <t>Perímetro expuesto</t>
  </si>
  <si>
    <t>Kcal/hr</t>
  </si>
  <si>
    <t>FAS</t>
  </si>
  <si>
    <t>Porcentaje</t>
  </si>
  <si>
    <t>Total superficie de envolvente</t>
  </si>
  <si>
    <t>Subtotal - sup. Verticales</t>
  </si>
  <si>
    <t>Únicamente auxiliar - cálculo de superficie y volumen de techos inclinados:</t>
  </si>
  <si>
    <t>1- Calculo del CNP - Coeficiente Neto de Pérdidas</t>
  </si>
  <si>
    <t>Conductancia</t>
  </si>
  <si>
    <t xml:space="preserve"> (K)</t>
  </si>
  <si>
    <t>Localidad:</t>
  </si>
  <si>
    <t>GD1VR0</t>
  </si>
  <si>
    <t>Localidad</t>
  </si>
  <si>
    <t>Grados-día</t>
  </si>
  <si>
    <t>[°C.día/año]</t>
  </si>
  <si>
    <t>Puertas</t>
  </si>
  <si>
    <t>FACTOR DE AREA ENVOLVENTE / PISO</t>
  </si>
  <si>
    <t>Tipo 1</t>
  </si>
  <si>
    <t xml:space="preserve">        Muros</t>
  </si>
  <si>
    <t>Subtotal - FAEP Muros</t>
  </si>
  <si>
    <t>FAEP Techos</t>
  </si>
  <si>
    <t>FAEP para la vivienda</t>
  </si>
  <si>
    <t>Grados-día:</t>
  </si>
  <si>
    <t xml:space="preserve">  Temp. Min. Diseño:</t>
  </si>
  <si>
    <t>°C</t>
  </si>
  <si>
    <t>Rendimiento del artefacto de calefacción:</t>
  </si>
  <si>
    <t>Kwh/año</t>
  </si>
  <si>
    <t>Superficie proyectada horizontal:</t>
  </si>
  <si>
    <t>Superficie del techo:</t>
  </si>
  <si>
    <t>Superficie del muro lateral:</t>
  </si>
  <si>
    <t>Volumen:</t>
  </si>
  <si>
    <t xml:space="preserve">4- Calor Auxiliar Anual </t>
  </si>
  <si>
    <t>5- Calculo del Coeficiente Global de Pérdidas (G)</t>
  </si>
  <si>
    <t>6- Potencia de calefacción necesaria (para dimensionar estufas, radiadores, etc.)</t>
  </si>
  <si>
    <t>Superficie</t>
  </si>
  <si>
    <t>GD2VR0</t>
  </si>
  <si>
    <t>GD1VAN</t>
  </si>
  <si>
    <t>GD2VAN</t>
  </si>
  <si>
    <t>MTH 1V AN</t>
  </si>
  <si>
    <t>MTH 2V AN</t>
  </si>
  <si>
    <t>MTAd 2V</t>
  </si>
  <si>
    <t>MA 1V</t>
  </si>
  <si>
    <t>MA 2V</t>
  </si>
  <si>
    <t>MA 1V AN</t>
  </si>
  <si>
    <t>MA 2V AN</t>
  </si>
  <si>
    <t>IA MM 9/3</t>
  </si>
  <si>
    <t>IA MA 9/3</t>
  </si>
  <si>
    <t>m.lineales</t>
  </si>
  <si>
    <r>
      <t>m</t>
    </r>
    <r>
      <rPr>
        <vertAlign val="superscript"/>
        <sz val="10"/>
        <rFont val="Arial"/>
        <family val="2"/>
      </rPr>
      <t>3</t>
    </r>
  </si>
  <si>
    <t>térmica</t>
  </si>
  <si>
    <t>MTH 1V</t>
  </si>
  <si>
    <t>MTH 2V</t>
  </si>
  <si>
    <t>MTL 2V</t>
  </si>
  <si>
    <t>II MM 9/3 AN</t>
  </si>
  <si>
    <t>II MM 9  AN</t>
  </si>
  <si>
    <t>Valores para distinto material del marco y configuraciones de vidriado</t>
  </si>
  <si>
    <t>Material del marco</t>
  </si>
  <si>
    <t>% de área ocupada</t>
  </si>
  <si>
    <t>por el marco</t>
  </si>
  <si>
    <t>Aluminio</t>
  </si>
  <si>
    <t>Chapa de acero plegada</t>
  </si>
  <si>
    <t>Individual</t>
  </si>
  <si>
    <t>Resultante</t>
  </si>
  <si>
    <t>Ganancia</t>
  </si>
  <si>
    <t>Directa</t>
  </si>
  <si>
    <t>[m²]</t>
  </si>
  <si>
    <t>Muros</t>
  </si>
  <si>
    <t>Acumulad.</t>
  </si>
  <si>
    <t>Invernaderos</t>
  </si>
  <si>
    <t xml:space="preserve">Sólo colocar superficie del sistema </t>
  </si>
  <si>
    <t>elegido en la columna de superficie</t>
  </si>
  <si>
    <t xml:space="preserve">Fracción de Ahorro Solar resultante del edificio: </t>
  </si>
  <si>
    <t>(significa que este % será el ahorrado por año).</t>
  </si>
  <si>
    <t xml:space="preserve"> con 2.5 cm de pol.expandido</t>
  </si>
  <si>
    <t xml:space="preserve"> con 5 cm de pol.expandido</t>
  </si>
  <si>
    <t xml:space="preserve"> con 7.5 cm de pol.expandido</t>
  </si>
  <si>
    <t xml:space="preserve"> con 10 cm de pol.expandido</t>
  </si>
  <si>
    <t>Ladrillo 0.12 rev.ambas caras s/aislación térmica</t>
  </si>
  <si>
    <t>Muro doble ladrillo 0.12 m s/aislación térmica</t>
  </si>
  <si>
    <t>Ladrillon rev. ambas caras s/aislación térmica</t>
  </si>
  <si>
    <t>Losa de losetas 12 cm s/aislación térmica</t>
  </si>
  <si>
    <t>Ladrillon revocado una cara s/aislación térmica</t>
  </si>
  <si>
    <t>Ladrillo 0.12 rev.una cara s/aislación térmica</t>
  </si>
  <si>
    <t>Muros - Descripción</t>
  </si>
  <si>
    <t xml:space="preserve">Resistencia </t>
  </si>
  <si>
    <t xml:space="preserve"> "                "         con 2.5 cm de pol.expandido</t>
  </si>
  <si>
    <t>CUADRO DE DATOS</t>
  </si>
  <si>
    <t>Mes</t>
  </si>
  <si>
    <t>GDM18</t>
  </si>
  <si>
    <t>Rad/GD</t>
  </si>
  <si>
    <t>en Mj/m².°C</t>
  </si>
  <si>
    <t>MT180 1V</t>
  </si>
  <si>
    <t>GD1801V</t>
  </si>
  <si>
    <t>MT1802V</t>
  </si>
  <si>
    <t>GD1802V</t>
  </si>
  <si>
    <t>Valores en BTU/ft².°F</t>
  </si>
  <si>
    <t>LCR</t>
  </si>
  <si>
    <t>Calculo de la FAS mensual</t>
  </si>
  <si>
    <t>C</t>
  </si>
  <si>
    <t>D</t>
  </si>
  <si>
    <t>H</t>
  </si>
  <si>
    <t>LCRS</t>
  </si>
  <si>
    <t>AI</t>
  </si>
  <si>
    <t>R0</t>
  </si>
  <si>
    <t>MA 2VAN</t>
  </si>
  <si>
    <t>II MM 9 AN</t>
  </si>
  <si>
    <t>m² por cada m² de piso</t>
  </si>
  <si>
    <t>Area</t>
  </si>
  <si>
    <t>a</t>
  </si>
  <si>
    <t>Orientación</t>
  </si>
  <si>
    <t>c</t>
  </si>
  <si>
    <t>3- Ganancia de calor por infiltración</t>
  </si>
  <si>
    <t>Techo</t>
  </si>
  <si>
    <t>Horas</t>
  </si>
  <si>
    <t>SE</t>
  </si>
  <si>
    <t>E</t>
  </si>
  <si>
    <t>NE</t>
  </si>
  <si>
    <t>N</t>
  </si>
  <si>
    <t>NO</t>
  </si>
  <si>
    <t>O</t>
  </si>
  <si>
    <t>SO</t>
  </si>
  <si>
    <t>S</t>
  </si>
  <si>
    <t>1- Carge Térmica por Muros y Techos</t>
  </si>
  <si>
    <t>2 Ganancia por ventanas</t>
  </si>
  <si>
    <t>Volumen del espacio:</t>
  </si>
  <si>
    <t>4- Ganancias internas:</t>
  </si>
  <si>
    <t>Computadora</t>
  </si>
  <si>
    <t>Valores en W/m²</t>
  </si>
  <si>
    <t>W/kcal/hr</t>
  </si>
  <si>
    <t>2-2 Energía gananda por ventanas - por conducción</t>
  </si>
  <si>
    <t>T.Ext.</t>
  </si>
  <si>
    <t>Factor</t>
  </si>
  <si>
    <t>Tmax.:</t>
  </si>
  <si>
    <t>Tmin.:</t>
  </si>
  <si>
    <t>1.0 Temperatura Exterior del aire horarias</t>
  </si>
  <si>
    <t>Temp. Exterior</t>
  </si>
  <si>
    <t>RAH</t>
  </si>
  <si>
    <t>Densidad relativa del aire:</t>
  </si>
  <si>
    <t>CONSUMOS TOTALES DE ENERGIA</t>
  </si>
  <si>
    <t>Ocup.</t>
  </si>
  <si>
    <t>Ilumin.</t>
  </si>
  <si>
    <t>Equip.</t>
  </si>
  <si>
    <t>Infiltr.</t>
  </si>
  <si>
    <t xml:space="preserve">2-3 Energía gananda por ventanas - por radiación solar </t>
  </si>
  <si>
    <t xml:space="preserve">Temperatura interior: </t>
  </si>
  <si>
    <t>Energía ganada por infiltración y ventilación</t>
  </si>
  <si>
    <t>Infiltración</t>
  </si>
  <si>
    <t>Ventilac.</t>
  </si>
  <si>
    <t>Energia en ventanas</t>
  </si>
  <si>
    <t>[Wh]</t>
  </si>
  <si>
    <t>Calculo del equipo acondicionador necesario</t>
  </si>
  <si>
    <t>Energía máxima necesaria:</t>
  </si>
  <si>
    <t>frig./hora</t>
  </si>
  <si>
    <t>Ton.refrig.</t>
  </si>
  <si>
    <t>2- Intercambio necesario [RAH]</t>
  </si>
  <si>
    <t>b</t>
  </si>
  <si>
    <t>d</t>
  </si>
  <si>
    <t>9- Coeficiente de presión diferencial</t>
  </si>
  <si>
    <t>(Diferencia entre fachadas)</t>
  </si>
  <si>
    <t>Relación</t>
  </si>
  <si>
    <t>Factor de corrección 1° piso</t>
  </si>
  <si>
    <t>Factor de corrrección 2°piso</t>
  </si>
  <si>
    <t>11- Coeficiente de presión diferencial corregido</t>
  </si>
  <si>
    <t>Para el 1° Piso</t>
  </si>
  <si>
    <t>Para el 2° Piso</t>
  </si>
  <si>
    <t>12. Elija el Factor de terreno:</t>
  </si>
  <si>
    <t>Frente al océano o mas de 5 km frente al agua</t>
  </si>
  <si>
    <t>Zona plana y edificios aislados</t>
  </si>
  <si>
    <t>Zona de barrios</t>
  </si>
  <si>
    <t>Urbana o industrial</t>
  </si>
  <si>
    <t>Centro de una ciudad</t>
  </si>
  <si>
    <t>Factor?</t>
  </si>
  <si>
    <t>13- Velocidad de viento revisada:</t>
  </si>
  <si>
    <t>14- Cálculo del área efectiva requerida, A:</t>
  </si>
  <si>
    <t>Para el primer piso:</t>
  </si>
  <si>
    <t>17- Si utiliza mosquitero divida las áreas por el factor de porosidad</t>
  </si>
  <si>
    <t>Factor de porosidad:</t>
  </si>
  <si>
    <t>Sin mosquitero</t>
  </si>
  <si>
    <t>Mosquitero metálico</t>
  </si>
  <si>
    <t>Mosquitero plástico</t>
  </si>
  <si>
    <t>19- Será necesario agregar más superficie en baños o cocinas para</t>
  </si>
  <si>
    <t>enfatizar la ventilación de estas áreas.</t>
  </si>
  <si>
    <t>m/hr</t>
  </si>
  <si>
    <t>Heladera</t>
  </si>
  <si>
    <t>T.V.</t>
  </si>
  <si>
    <t>1-1 Diferencia de Temperaturas - Latitud: 35° - K=1.6 W/m².°C</t>
  </si>
  <si>
    <t>Lugar:</t>
  </si>
  <si>
    <t>DATOS CLIMATICOS Y DE RADIACIÓN SOLAR/GRADOS DÍA DE CALEFACCIÓN TB = 18°c</t>
  </si>
  <si>
    <t>Temperaturas y datos de viento para balance de verano</t>
  </si>
  <si>
    <t>TMAA</t>
  </si>
  <si>
    <t>TMAM</t>
  </si>
  <si>
    <t>TM</t>
  </si>
  <si>
    <t>TMIM</t>
  </si>
  <si>
    <t>HGCC</t>
  </si>
  <si>
    <t>VelV</t>
  </si>
  <si>
    <t>TMAD</t>
  </si>
  <si>
    <t>TMID</t>
  </si>
  <si>
    <t>Balance Térmico Invierno-Verano para Edificios Sustentables</t>
  </si>
  <si>
    <t>Indique la localidad</t>
  </si>
  <si>
    <t>Numero de ocupantes (Noc.)</t>
  </si>
  <si>
    <t>Potencia [W]</t>
  </si>
  <si>
    <t>Energía [Wh]</t>
  </si>
  <si>
    <t>Total [Wh]</t>
  </si>
  <si>
    <t>Energía</t>
  </si>
  <si>
    <t>Radiación</t>
  </si>
  <si>
    <t>Conducción</t>
  </si>
  <si>
    <t>Ganancias por la envolvente</t>
  </si>
  <si>
    <t xml:space="preserve">              Ganancias internas</t>
  </si>
  <si>
    <t>Potencia [frigorías/hora]</t>
  </si>
  <si>
    <t>Potencia [toneladas de refrigeración]</t>
  </si>
  <si>
    <t>Hora</t>
  </si>
  <si>
    <t>Carga Enf.</t>
  </si>
  <si>
    <t>[°C]</t>
  </si>
  <si>
    <t xml:space="preserve">                   Agua </t>
  </si>
  <si>
    <t xml:space="preserve">        Mampostería</t>
  </si>
  <si>
    <t>[kg]</t>
  </si>
  <si>
    <t>[m²/m²</t>
  </si>
  <si>
    <t xml:space="preserve">Cantidad necesaria de masa térmica: </t>
  </si>
  <si>
    <t>Mampostería:</t>
  </si>
  <si>
    <t>ó</t>
  </si>
  <si>
    <t>kg</t>
  </si>
  <si>
    <t>Agua:</t>
  </si>
  <si>
    <t>Para el siguiente material:</t>
  </si>
  <si>
    <t>Densidad</t>
  </si>
  <si>
    <t>Espesor</t>
  </si>
  <si>
    <t>Sup. Necesaria</t>
  </si>
  <si>
    <t>Hormigón armado:</t>
  </si>
  <si>
    <t>Ladrillo:</t>
  </si>
  <si>
    <t>Ladrillón:</t>
  </si>
  <si>
    <t>Piedra:</t>
  </si>
  <si>
    <t>Adobe:</t>
  </si>
  <si>
    <t xml:space="preserve">Para water wall: </t>
  </si>
  <si>
    <t>Wh/m².°C</t>
  </si>
  <si>
    <t>Concreto</t>
  </si>
  <si>
    <t>Piedra</t>
  </si>
  <si>
    <t>Ladrillo</t>
  </si>
  <si>
    <t xml:space="preserve">Madera </t>
  </si>
  <si>
    <t>Adobe</t>
  </si>
  <si>
    <t>Admitancia asol.</t>
  </si>
  <si>
    <t>Arena</t>
  </si>
  <si>
    <t>[W/m².°C]</t>
  </si>
  <si>
    <t xml:space="preserve">              Admitancia térmica de materiales de acumulación </t>
  </si>
  <si>
    <t>W/m².°C</t>
  </si>
  <si>
    <t>2- Fracción de Ahorro Solar (FAS)</t>
  </si>
  <si>
    <t>3- Relación Carga Térmica/Colector</t>
  </si>
  <si>
    <t>[W/°C]</t>
  </si>
  <si>
    <t>1°Piso</t>
  </si>
  <si>
    <t>2°Piso</t>
  </si>
  <si>
    <t>Estas son superficies netas de ventilación, luego tener en cuenta las posibilidades</t>
  </si>
  <si>
    <t>de cada tipo de ventana y la obturación por el marco.</t>
  </si>
  <si>
    <t>Gas envasado [kg]:</t>
  </si>
  <si>
    <t>Gas natural [m3]</t>
  </si>
  <si>
    <t>Kerosene [lts]:</t>
  </si>
  <si>
    <t>Leña [kg]:</t>
  </si>
  <si>
    <t>Unitario</t>
  </si>
  <si>
    <t>Calefacción</t>
  </si>
  <si>
    <t>Coeficientes peliculares:</t>
  </si>
  <si>
    <t>Para aire quieto</t>
  </si>
  <si>
    <t>para velocidad del lugar</t>
  </si>
  <si>
    <t>Calculo de resistencia térmica:</t>
  </si>
  <si>
    <t>m².°C/W</t>
  </si>
  <si>
    <t>Ladrillón</t>
  </si>
  <si>
    <t>Viento</t>
  </si>
  <si>
    <t>[km/hr]</t>
  </si>
  <si>
    <t>Capa 4</t>
  </si>
  <si>
    <t>Aislación térmica</t>
  </si>
  <si>
    <t>Conductividad</t>
  </si>
  <si>
    <t>[m]</t>
  </si>
  <si>
    <t>Térmica [W/mK]</t>
  </si>
  <si>
    <t>CALOR DIARIO A EXTRAER:</t>
  </si>
  <si>
    <t>Obtención de las Renovaciones de Aire por hora</t>
  </si>
  <si>
    <t>En horas de calor ganado, es decir, positivo,</t>
  </si>
  <si>
    <t>Durmiendo</t>
  </si>
  <si>
    <t xml:space="preserve">Espesor </t>
  </si>
  <si>
    <t>óptimo</t>
  </si>
  <si>
    <t>Nota: sólo se debe operar con las celdas grisadas</t>
  </si>
  <si>
    <t>Noreste</t>
  </si>
  <si>
    <t>Sureste</t>
  </si>
  <si>
    <t>Suroeste</t>
  </si>
  <si>
    <t>Noroeste</t>
  </si>
  <si>
    <t>FAEP</t>
  </si>
  <si>
    <t>m²/m²</t>
  </si>
  <si>
    <t>FF:</t>
  </si>
  <si>
    <r>
      <t>m</t>
    </r>
    <r>
      <rPr>
        <vertAlign val="superscript"/>
        <sz val="10"/>
        <rFont val="Arial"/>
        <family val="2"/>
      </rPr>
      <t>-1</t>
    </r>
  </si>
  <si>
    <t xml:space="preserve">      del total</t>
  </si>
  <si>
    <t>Hoja de cálculo para obtener conductancias de muros y techos:</t>
  </si>
  <si>
    <t>Elemento y material</t>
  </si>
  <si>
    <r>
      <t>[W/m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>.°C]</t>
    </r>
  </si>
  <si>
    <t>Lugar y velocidad de viento en Km/hr:</t>
  </si>
  <si>
    <t>km/h</t>
  </si>
  <si>
    <t>Velocidad de viento en metros/segundo</t>
  </si>
  <si>
    <t>m/s</t>
  </si>
  <si>
    <t>Resistencia</t>
  </si>
  <si>
    <t>Valor resultante de conductancia térmica</t>
  </si>
  <si>
    <t>Ver tecnología de incorporación del aislamiento térmico</t>
  </si>
  <si>
    <t xml:space="preserve">                                        "</t>
  </si>
  <si>
    <t>ladrillo visto ambas caras con cámara rellena con poliestireno expandido</t>
  </si>
  <si>
    <t>Con la aislación térmica protegida con revoque de concreto</t>
  </si>
  <si>
    <t>Una cara visto y otra con poliestireno expandido y revoque de concreto</t>
  </si>
  <si>
    <t>Ladrillon revocado una cara y la otra con piedra s/aislación térmica</t>
  </si>
  <si>
    <t>Espesor de la piedra 2 cm</t>
  </si>
  <si>
    <t>Con la aislación térmica protegida con revoque de concreto y piedra</t>
  </si>
  <si>
    <t>PVC ó Madera</t>
  </si>
  <si>
    <t>PVC ó Madera con cortina interior</t>
  </si>
  <si>
    <t>PVC ó Madera con cortina exterior</t>
  </si>
  <si>
    <t>PVC ó Madera con cortina interior y exterior</t>
  </si>
  <si>
    <t>Aluminio con cortina interior</t>
  </si>
  <si>
    <t>Aluminio con cortina exterior</t>
  </si>
  <si>
    <t>Aluminio con cortina interior y exterior</t>
  </si>
  <si>
    <t>Chapa plegada con cortina interior</t>
  </si>
  <si>
    <t>Chapa plegada con cortina exterior</t>
  </si>
  <si>
    <t>Chapa plegada con cortina interior y exterior</t>
  </si>
  <si>
    <t>Con 5 cm de hormigón alivianado</t>
  </si>
  <si>
    <t>Con 10 cm de hormigón alivianado</t>
  </si>
  <si>
    <t>TABLA DE AISLANTES TERMICOS</t>
  </si>
  <si>
    <t xml:space="preserve">Conductancia térmica de elementos: identifique el elemento y obtenga el valor de conductancia para </t>
  </si>
  <si>
    <t>colocar en la planilla de Balance de calefacción</t>
  </si>
  <si>
    <t>Nivel de actividad  (N.A.) (en mets) (ver tabla contigua)</t>
  </si>
  <si>
    <t>Muros 1</t>
  </si>
  <si>
    <t>Muros 2</t>
  </si>
  <si>
    <t>Techos 1</t>
  </si>
  <si>
    <t>Techos 2</t>
  </si>
  <si>
    <t>W</t>
  </si>
  <si>
    <t>RAH nocturnas</t>
  </si>
  <si>
    <r>
      <rPr>
        <b/>
        <sz val="10"/>
        <rFont val="Arial"/>
        <family val="2"/>
      </rPr>
      <t>Factor de Area Envolvente/Piso:</t>
    </r>
    <r>
      <rPr>
        <sz val="10"/>
        <rFont val="Arial"/>
        <family val="2"/>
      </rPr>
      <t xml:space="preserve"> ideal entre 1 y 2</t>
    </r>
  </si>
  <si>
    <t>Nota: Si hay un techo a dos aguas, se debe considerar cada lado por separado</t>
  </si>
  <si>
    <t>Longitud del techo "L":</t>
  </si>
  <si>
    <t>Altura mayor "H":</t>
  </si>
  <si>
    <t>Altura menor "h":</t>
  </si>
  <si>
    <t>Distancia entre ellas "d":</t>
  </si>
  <si>
    <r>
      <t>W/m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.°C</t>
    </r>
  </si>
  <si>
    <t>Potencia necesaria:</t>
  </si>
  <si>
    <t>Térmica</t>
  </si>
  <si>
    <t>Conductancias térmica de ventanas [W/m2.°C]</t>
  </si>
  <si>
    <t>Losa maciza 10 cm sin aislación térmica</t>
  </si>
  <si>
    <t>Chapa ext.-cieloraso susp. sin aislación térmica</t>
  </si>
  <si>
    <t>Chapa ext.-machimbre int. sin aislación térmica</t>
  </si>
  <si>
    <t>1 solo vidrio</t>
  </si>
  <si>
    <t>Doble Vidriado</t>
  </si>
  <si>
    <t>Hermético (DVH)</t>
  </si>
  <si>
    <t>Puertas opacas o hasta 10% de superficie vidriada</t>
  </si>
  <si>
    <t>CONDUCTANCIA DE VENTANAS Y/O PUERTAS VENTANA</t>
  </si>
  <si>
    <t>De madera maciza con tableros</t>
  </si>
  <si>
    <t>De chapa hueca</t>
  </si>
  <si>
    <t>De chapa hueca rellena con poliuretano</t>
  </si>
  <si>
    <t>(4 mm)</t>
  </si>
  <si>
    <t>(3+12+3)</t>
  </si>
  <si>
    <t xml:space="preserve"> 40 cm ancho x 70 cm profundidad</t>
  </si>
  <si>
    <t>Admitancia térmica a través del aire:</t>
  </si>
  <si>
    <t>Superficie de masa térmica a incluir:</t>
  </si>
  <si>
    <t>Temp. Interior</t>
  </si>
  <si>
    <t>deseada</t>
  </si>
  <si>
    <t>Factor "G" - Norma IRAM 11604 (=CGP/Volumen)</t>
  </si>
  <si>
    <t>Latitud</t>
  </si>
  <si>
    <t>Altura s.n.m.</t>
  </si>
  <si>
    <t>[°]</t>
  </si>
  <si>
    <t>m.s.n.m.</t>
  </si>
  <si>
    <t>Altitud:</t>
  </si>
  <si>
    <t>para el día de diseño, es decir, con temperatura exterior de:</t>
  </si>
  <si>
    <t>Es la potencia necesaria para alcanzar y mantener constante 21°C interior (sumado las ganancias internas</t>
  </si>
  <si>
    <t>Con 2,5 cm de placa rígida de poliuretano expandido</t>
  </si>
  <si>
    <t xml:space="preserve">Material del muro o de la capa en caso de </t>
  </si>
  <si>
    <t>tener varias</t>
  </si>
  <si>
    <t>Revoque de hormigón</t>
  </si>
  <si>
    <t>hi [W/m².°C] -  coeficiente pelicular interior</t>
  </si>
  <si>
    <t>he [W/m².°C] - coeficiente pelicular exterior</t>
  </si>
  <si>
    <t>Capa 5</t>
  </si>
  <si>
    <t>Capa 6</t>
  </si>
  <si>
    <t>Capa 7</t>
  </si>
  <si>
    <t>Indique material, espesor y conductividad térmica del muro</t>
  </si>
  <si>
    <t>Indique material, espesor y conductividad térmica del techo</t>
  </si>
  <si>
    <t>Losa maciza</t>
  </si>
  <si>
    <t>Membrana de caucho con aluminio</t>
  </si>
  <si>
    <t>Relleno alivianado con perlitas de poliestireno expandido (esp. Medio)</t>
  </si>
  <si>
    <t xml:space="preserve">Energía diaria gananda por ocupantes: </t>
  </si>
  <si>
    <t>[Wh/día]</t>
  </si>
  <si>
    <t>4.1 Energia ganada por presencia de personas</t>
  </si>
  <si>
    <t>Energía diaria gananda por iluminación artificial:</t>
  </si>
  <si>
    <t>Tipo 1 para un tipo de lámpara</t>
  </si>
  <si>
    <t>Tipo 2 para otro tipo de lámpara</t>
  </si>
  <si>
    <t>Si hubiera varias lámparas o focos</t>
  </si>
  <si>
    <t>de distinta potencia, calcular un</t>
  </si>
  <si>
    <t>valor medio y ponerlo en potencia</t>
  </si>
  <si>
    <t>Luego colocar la cantidad que están</t>
  </si>
  <si>
    <t>encendidos en cada hora.</t>
  </si>
  <si>
    <t>Indice por tipo de protección: colocar el valor consultando la tabla adjunta en función del tipo de protección de la ventana</t>
  </si>
  <si>
    <t>Consultar el valor de potencia de cada artefacto en la tabla adjunta. Son valores medios pero pueden variar de acuerdo a su categoría</t>
  </si>
  <si>
    <t>Cocina a gas</t>
  </si>
  <si>
    <t>Energía diaria gananda por el uso de equipamiento:</t>
  </si>
  <si>
    <t>Energía total</t>
  </si>
  <si>
    <t>nocturnas necesarias para enfriar el edificio.</t>
  </si>
  <si>
    <t>o subtropical con humedad relativa alta.</t>
  </si>
  <si>
    <t>Nota: Esto no es aplicable a zonas de clima tropical</t>
  </si>
  <si>
    <t>Distancia con edificios adyacentes [m]</t>
  </si>
  <si>
    <t>Altura del edificio adyacente [m]</t>
  </si>
  <si>
    <t>m</t>
  </si>
  <si>
    <t>Para ventilación durante:</t>
  </si>
  <si>
    <t xml:space="preserve">Dirección </t>
  </si>
  <si>
    <t>Predominante de viento</t>
  </si>
  <si>
    <r>
      <t xml:space="preserve">   Lado "</t>
    </r>
    <r>
      <rPr>
        <b/>
        <sz val="10"/>
        <rFont val="Arial"/>
        <family val="2"/>
      </rPr>
      <t>a"</t>
    </r>
    <r>
      <rPr>
        <sz val="10"/>
        <rFont val="Arial"/>
        <family val="2"/>
      </rPr>
      <t xml:space="preserve"> sería:</t>
    </r>
  </si>
  <si>
    <t>7- Angulo de Incidencia de la fachada contra el viento[°]</t>
  </si>
  <si>
    <t>Fachadas opuestas:</t>
  </si>
  <si>
    <t>a - c=</t>
  </si>
  <si>
    <t>a - b=</t>
  </si>
  <si>
    <t>a - d=</t>
  </si>
  <si>
    <t>a - techo=</t>
  </si>
  <si>
    <t>Entre fachada a y techo</t>
  </si>
  <si>
    <t>Entre fachada a y b</t>
  </si>
  <si>
    <t>Entre fachada a y d</t>
  </si>
  <si>
    <t xml:space="preserve">          Sobre fachada</t>
  </si>
  <si>
    <t>8- Coeficiente de presión (mirando el esquema de más abajo)</t>
  </si>
  <si>
    <t xml:space="preserve">          Sobre el techo</t>
  </si>
  <si>
    <t xml:space="preserve">    el viento entra por a y sale por c</t>
  </si>
  <si>
    <t xml:space="preserve">    el viento entra por a y sale por b</t>
  </si>
  <si>
    <t xml:space="preserve">    el viento entra por a y sale por d</t>
  </si>
  <si>
    <t xml:space="preserve">    el viento entra por a y sale por techo</t>
  </si>
  <si>
    <t>ubicación de las ventanas de entrada y salida del viento.</t>
  </si>
  <si>
    <t>Aquí coloque el coeficiente que corresponda de acuerdo a la</t>
  </si>
  <si>
    <t>10- Factor de corrección del coeficiente diferencial de presión</t>
  </si>
  <si>
    <t>las 24 h</t>
  </si>
  <si>
    <t>sólo de noche</t>
  </si>
  <si>
    <t>Cocinando</t>
  </si>
  <si>
    <t>Total diario:</t>
  </si>
  <si>
    <t>15- Area de ventana para el ingreso/salida de aire:</t>
  </si>
  <si>
    <t>Siempre resulta mejor utilizar superficies de salida mayores, digamos</t>
  </si>
  <si>
    <t xml:space="preserve">que hasta 5 veces mayor que la superficie de entrada, la ventilación </t>
  </si>
  <si>
    <t>aumenta. Sin embargo un valor razonable puede ser del orden de 2.</t>
  </si>
  <si>
    <t>16- Area de ventana para la salida del aire (sugeridas):</t>
  </si>
  <si>
    <t>% (Av/Sc)</t>
  </si>
  <si>
    <t xml:space="preserve">      Ingreso de aire</t>
  </si>
  <si>
    <t xml:space="preserve">          Salida aire</t>
  </si>
  <si>
    <t xml:space="preserve">               Total </t>
  </si>
  <si>
    <t>18- Valor de la superficie total dividido la sup. Cubierta (Sc)</t>
  </si>
  <si>
    <t>Tomando en cuenta el lado del viento</t>
  </si>
  <si>
    <t>Con estas aberturas aseguraríamos la ventilación suficiente como para enfriar el edificio en los</t>
  </si>
  <si>
    <t>días en que la velocidad de viento sea la media del mes.</t>
  </si>
  <si>
    <r>
      <t>m</t>
    </r>
    <r>
      <rPr>
        <vertAlign val="superscript"/>
        <sz val="10"/>
        <rFont val="Aparajita"/>
        <family val="2"/>
      </rPr>
      <t>3</t>
    </r>
  </si>
  <si>
    <t xml:space="preserve">1- Volumen del edificio, V </t>
  </si>
  <si>
    <t xml:space="preserve">3- Cantidad de aire requerido </t>
  </si>
  <si>
    <t>4- Ubicación:</t>
  </si>
  <si>
    <t>RAH - Renovación de Aire/Hora</t>
  </si>
  <si>
    <t>km/hr</t>
  </si>
  <si>
    <r>
      <t>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/hr</t>
    </r>
  </si>
  <si>
    <t>5- Velocidad de viento (media para enero):</t>
  </si>
  <si>
    <t>BALANCE TERMICO DE VERANO (Sólo operar las celdas grisadas)</t>
  </si>
  <si>
    <t xml:space="preserve">que sume al final del día (en el total) la misma </t>
  </si>
  <si>
    <t>Datos correspondientes a:</t>
  </si>
  <si>
    <t>El viento presiona de tal manera que:</t>
  </si>
  <si>
    <t xml:space="preserve">Cuando las ventanas se ubican </t>
  </si>
  <si>
    <t xml:space="preserve">El coeficiente diferencial de </t>
  </si>
  <si>
    <t xml:space="preserve">presión a adoptar será: </t>
  </si>
  <si>
    <t>entre las siguientes fachadas, donde:</t>
  </si>
  <si>
    <t>6- Dirección predominante:</t>
  </si>
  <si>
    <t>Total [Wh/día]</t>
  </si>
  <si>
    <r>
      <t>2-1 Area [m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>] y conductancia térmica de Ventanas [W/m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 xml:space="preserve">.°C] </t>
    </r>
  </si>
  <si>
    <r>
      <t>1.1 Area [m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>] y conductancia térmica de Muros y Techos [W/m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 xml:space="preserve">.°C] </t>
    </r>
  </si>
  <si>
    <t>1.1 Energía gananda por muros y techos</t>
  </si>
  <si>
    <r>
      <t>1.2 Area [m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>] y conductancia térmica de Muros y Techos [W/m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 xml:space="preserve">.°C] </t>
    </r>
  </si>
  <si>
    <t>1.2 Energía gananda por muros y techos</t>
  </si>
  <si>
    <t>Ventilación Nocturna</t>
  </si>
  <si>
    <t>Calor extraído</t>
  </si>
  <si>
    <t>Temperatura interior:</t>
  </si>
  <si>
    <t>N° Ocupantes</t>
  </si>
  <si>
    <t>Nivel Activid.</t>
  </si>
  <si>
    <t xml:space="preserve">Tipo 1: </t>
  </si>
  <si>
    <t xml:space="preserve">Tipo 2: </t>
  </si>
  <si>
    <t>Fluorecente</t>
  </si>
  <si>
    <t>Fluorescente compacta</t>
  </si>
  <si>
    <t>c.l.e</t>
  </si>
  <si>
    <t>c.l.e.: cantidad de lámparas encendidas en esa hora</t>
  </si>
  <si>
    <t>h en que se usa</t>
  </si>
  <si>
    <t>Invierno</t>
  </si>
  <si>
    <t>Temp. Ext.</t>
  </si>
  <si>
    <t>Envolvente</t>
  </si>
  <si>
    <t>Ventilación</t>
  </si>
  <si>
    <t>Nocturna</t>
  </si>
  <si>
    <t xml:space="preserve">Total  </t>
  </si>
  <si>
    <t>Balance</t>
  </si>
  <si>
    <t>Ganancias</t>
  </si>
  <si>
    <t xml:space="preserve">Valores totales  </t>
  </si>
  <si>
    <t>Se deben colocar las RAH necesarias en celda grisada</t>
  </si>
  <si>
    <t xml:space="preserve">el programa colocará 0, para evitar que aumente la </t>
  </si>
  <si>
    <t xml:space="preserve">ganancia de calor en el edificio, dado que en esas horas </t>
  </si>
  <si>
    <t xml:space="preserve">Colocar la superficie de masa térmica (usualmente la superficie de envolvente sola, si las </t>
  </si>
  <si>
    <t>Tipo 1:</t>
  </si>
  <si>
    <t xml:space="preserve">Para tener en cuenta el enfriamiento por masa térmica colocar en la celdas grisada superficie y admitancia térmica </t>
  </si>
  <si>
    <t>Admitancia térmica (*)</t>
  </si>
  <si>
    <t>(*) intercambio convectivo - Ver capítulo 4 libro</t>
  </si>
  <si>
    <t>particiones internas son livianas o todo si todo es macizo). También puede ser que se diseñe particiones interiores</t>
  </si>
  <si>
    <t xml:space="preserve">como masa térmica y la envolvente liviana, en este caso poner sólo superficie de particiones interiores. . </t>
  </si>
  <si>
    <t>El piso se considera con masa térmica si es un piso macizo y sin alformbras. El de madera se debe considerar como tal.</t>
  </si>
  <si>
    <t>El cálculo de la temperatura interior corresponde</t>
  </si>
  <si>
    <t>al día que se utilizó en el balance de enfriamiento</t>
  </si>
  <si>
    <t>por lo tanto, al día más crítico del mes de enero y</t>
  </si>
  <si>
    <t>tomando en cuenta las ganancias de calor indicadas</t>
  </si>
  <si>
    <t>en la columna de carga de enfriamiento, que incluye</t>
  </si>
  <si>
    <t>la ventilación nocturna.</t>
  </si>
  <si>
    <t>Se muestran los pasos para determinar el área necesaria de ventanas</t>
  </si>
  <si>
    <t xml:space="preserve"> (sólo modificar las celdas grisadas)</t>
  </si>
  <si>
    <t>Para el segundo piso y siguientes:</t>
  </si>
  <si>
    <t>Sólo operar celdas grisadas</t>
  </si>
  <si>
    <t>CALCULO DE SUPERFICIE DE VENTANAS PARA VENTILACION NATURAL NOCTURNA PARA ENFRIAMIENTO</t>
  </si>
  <si>
    <t>ENFRIAMIENTO POR PRESENCIA DE MASA TERMICA COMBINADA CON VENTILACIÓN NOCTURNA</t>
  </si>
  <si>
    <t>(se considera techo horizontal)</t>
  </si>
  <si>
    <t>(Se considera el techo horizontal)</t>
  </si>
  <si>
    <t>Concreto:</t>
  </si>
  <si>
    <t>Vent. Rad.</t>
  </si>
  <si>
    <t>Vent. Cond.</t>
  </si>
  <si>
    <t>Total Gan.x</t>
  </si>
  <si>
    <t>Total Gan.</t>
  </si>
  <si>
    <t>Internas</t>
  </si>
  <si>
    <t>Totales</t>
  </si>
  <si>
    <t>Temp. Int.(**)</t>
  </si>
  <si>
    <t>(**) Temperatura Interior de Arranque: se debe colocar un valor para comenzar el cálculo. Luego se debe</t>
  </si>
  <si>
    <t xml:space="preserve">chequear que se llegue al mismo valor o a un valor cercano a las 22h. Si la temperatura tiende a aumentar </t>
  </si>
  <si>
    <t>hacia la tarde es que haría falta más superficie de masa térmica. Si se tiende a igualar está bien. Si varía</t>
  </si>
  <si>
    <t>muy poco a lo largo del día (digamos 1 o 2°C) podemos disminuir la masa térmica, aunque es preferible que</t>
  </si>
  <si>
    <t>ésta tenga más superficie que menos. Para otras consideraciones de masa térmica ver cap. 5 libro.</t>
  </si>
  <si>
    <r>
      <rPr>
        <b/>
        <sz val="10"/>
        <rFont val="Arial"/>
        <family val="2"/>
      </rPr>
      <t>Factor de Forma</t>
    </r>
    <r>
      <rPr>
        <sz val="10"/>
        <rFont val="Arial"/>
        <family val="2"/>
      </rPr>
      <t xml:space="preserve">: ideal entre 0,6 y 1,2 </t>
    </r>
  </si>
  <si>
    <t>el aire estará a mayor temperatura que el edificio. Esto se</t>
  </si>
  <si>
    <t>materializa cerrando el edificio tratando de minimizar las</t>
  </si>
  <si>
    <t>ganancias de calor.</t>
  </si>
  <si>
    <t xml:space="preserve">cantidad o mayor que el calor diario a extraer (indicado arriba) </t>
  </si>
  <si>
    <t>pero con signo negativo.</t>
  </si>
  <si>
    <t>Necesaria</t>
  </si>
  <si>
    <t>Local</t>
  </si>
  <si>
    <t>Cocina</t>
  </si>
  <si>
    <t>Sanitarios</t>
  </si>
  <si>
    <t>Oficinas</t>
  </si>
  <si>
    <t>Espacios diurnos</t>
  </si>
  <si>
    <t>Restaurant</t>
  </si>
  <si>
    <t>Laboratorios</t>
  </si>
  <si>
    <t xml:space="preserve">CALCULO DE SUPERFICIE DE VENTANAS PARA VENTILACION NATURAL </t>
  </si>
  <si>
    <t>Cuando las temperaturas exteriores sean de confort o ligeramente más elevadas, se puede ventilar directamente los locales</t>
  </si>
  <si>
    <t>http://www.ms.gba.gov.ar/sitios/edup/ley-de-higiene-y-seguridad-en-el-trabajo/</t>
  </si>
  <si>
    <t>En la tabla siguiente se indican valores para espacios interiores mas comunes, en RAH:</t>
  </si>
  <si>
    <t>desde el exterior, generando ventilación de confort. En este caso el nivel de renovaciones se puede consultar en la Tabla o en la página:</t>
  </si>
  <si>
    <t>La altura se puede conocer multiplicando por 3 cada nivel, en este caso</t>
  </si>
  <si>
    <t>un edificio de PB y 1º piso.</t>
  </si>
  <si>
    <t>Tomando en cuenta el lado que viene el viento</t>
  </si>
  <si>
    <t>Es de destacar que siempre resulta mejor utilizar superficies de salida mayores, digamos</t>
  </si>
  <si>
    <t>de cada tipo de ventana (ver capìtulo 5 del libro) y la obturación del vano por el marco.</t>
  </si>
  <si>
    <t>NOTA: este valor no reemplaza al valor de ventilación necesaria indicada en el código de Edificación del Municipio correspondiente</t>
  </si>
  <si>
    <t xml:space="preserve"> donde se vaya a construir el edificio, por lo tanto, si esta área resulta menor, se adoptará la indicada por el Municipio.</t>
  </si>
  <si>
    <t>MTBl 1V</t>
  </si>
  <si>
    <t>MTBl 2V</t>
  </si>
  <si>
    <t>Localidades</t>
  </si>
  <si>
    <t>Longitud</t>
  </si>
  <si>
    <t>Altitud s.n.m.</t>
  </si>
  <si>
    <t>Archivo</t>
  </si>
  <si>
    <r>
      <rPr>
        <b/>
        <sz val="10"/>
        <rFont val="Arial"/>
        <family val="2"/>
      </rPr>
      <t>Nota:</t>
    </r>
    <r>
      <rPr>
        <sz val="10"/>
        <rFont val="Arial"/>
        <family val="2"/>
      </rPr>
      <t xml:space="preserve"> con ganancia directa o invernaderos, se debería incorporar 6 a 9 veces la superficie de </t>
    </r>
  </si>
  <si>
    <t>ganancia directa como masa térmica. Ver libro - capítulo 3 y 6.</t>
  </si>
  <si>
    <t>Salta</t>
  </si>
  <si>
    <t>Jujuy</t>
  </si>
  <si>
    <t>La Quiaca</t>
  </si>
  <si>
    <t>Santiago del Estero</t>
  </si>
  <si>
    <t>Tartagal</t>
  </si>
  <si>
    <t>Tinogasta</t>
  </si>
  <si>
    <t>Catamarca</t>
  </si>
  <si>
    <t>Tinogasta, Catamarca</t>
  </si>
  <si>
    <t>24,47º S</t>
  </si>
  <si>
    <t>65,29º O</t>
  </si>
  <si>
    <t>1221 msnm</t>
  </si>
  <si>
    <t>24,1º S</t>
  </si>
  <si>
    <t>65,11º O</t>
  </si>
  <si>
    <t>1302 msnm</t>
  </si>
  <si>
    <t>22,06º S</t>
  </si>
  <si>
    <t>65,36º O</t>
  </si>
  <si>
    <t>3459 msnm</t>
  </si>
  <si>
    <t>27,46º S</t>
  </si>
  <si>
    <t>64,18º O</t>
  </si>
  <si>
    <t>199 msnm</t>
  </si>
  <si>
    <t>22,39º S</t>
  </si>
  <si>
    <t>63,49º O</t>
  </si>
  <si>
    <t>450 msnm</t>
  </si>
  <si>
    <t>28,06º S</t>
  </si>
  <si>
    <t>67,57º O</t>
  </si>
  <si>
    <t>1201 msnm</t>
  </si>
  <si>
    <t>28,36º S</t>
  </si>
  <si>
    <t>65,46º O</t>
  </si>
  <si>
    <t>454 msnm</t>
  </si>
  <si>
    <t>Achalco</t>
  </si>
  <si>
    <t>Colonia Achalco, Catamarca</t>
  </si>
  <si>
    <t>65,12° O</t>
  </si>
  <si>
    <t>400 msnm</t>
  </si>
  <si>
    <t>28,47° S</t>
  </si>
  <si>
    <t>ventanas para enfriamiento convectivo nocturno</t>
  </si>
  <si>
    <t xml:space="preserve">Con este valor de RAH nocturnas se dimensionarán las </t>
  </si>
  <si>
    <t>ENFRIAMIENTO CONVECTIVO NOCTURNO (por ventilación natural)</t>
  </si>
  <si>
    <t xml:space="preserve">correspondiente al material de acumulación (en muros, pisos y/o techos) que se prevea en el interior del edificio. </t>
  </si>
  <si>
    <t>Puede ser que las posibilidades de enfriamiento natural</t>
  </si>
  <si>
    <t>por acumulación térmica fueran bajas (pocas horas con</t>
  </si>
  <si>
    <t xml:space="preserve">valores negativos en la carga de enfriamiento) eso </t>
  </si>
  <si>
    <t>puede ser por elegir una temperatura interior muy baja</t>
  </si>
  <si>
    <t>o por ser una localidad muy cálida, con temperaturas</t>
  </si>
  <si>
    <t>elevadas aún por las noches (Ver Libro Arquitectura</t>
  </si>
  <si>
    <t>Bioclimática y Sustentable - cap. 5).</t>
  </si>
  <si>
    <t>Ingrese el índice (residencial: 1,0; locales uso diurno: 0,4)</t>
  </si>
  <si>
    <t>E.Eléctrica [kWh/año]:</t>
  </si>
  <si>
    <t>BALANCE TERMICO SISTEMAS PASIVOS/ACTIVOS PARA EDIFICIOS</t>
  </si>
  <si>
    <t>PROYECTO:</t>
  </si>
  <si>
    <t xml:space="preserve">Localidad considerada: </t>
  </si>
  <si>
    <t>1- FORMA</t>
  </si>
  <si>
    <t>FAEP Muros</t>
  </si>
  <si>
    <t>FF</t>
  </si>
  <si>
    <t>2- BALANCE TÉRMICO DE CALEFACCION:</t>
  </si>
  <si>
    <t>2.1 - Coeficiente Neto de Pérdidas (excluye ventanas N, E y O)</t>
  </si>
  <si>
    <t>Elemento:</t>
  </si>
  <si>
    <t>2.2 Fracción de Ahorro Solar:</t>
  </si>
  <si>
    <t>Superficie colectora total:</t>
  </si>
  <si>
    <t>Fracción de Ahorro Solar:</t>
  </si>
  <si>
    <t>2.3 Calor auxiliar anual y costo:</t>
  </si>
  <si>
    <t>Importante</t>
  </si>
  <si>
    <t>Valor</t>
  </si>
  <si>
    <t>Unidad</t>
  </si>
  <si>
    <t>Precio</t>
  </si>
  <si>
    <t>Costo anual</t>
  </si>
  <si>
    <t>Electricidad</t>
  </si>
  <si>
    <t>kg GE</t>
  </si>
  <si>
    <t>m3 GN</t>
  </si>
  <si>
    <t>litros</t>
  </si>
  <si>
    <t>kg m.dura</t>
  </si>
  <si>
    <t>2.3 Potencia de calefacción:</t>
  </si>
  <si>
    <t>3- BALANCE TERMICO DE ENFRIAMIENTO</t>
  </si>
  <si>
    <t xml:space="preserve">Ganancia térmica diaria: </t>
  </si>
  <si>
    <t>Wh/día</t>
  </si>
  <si>
    <t>Potencia del equipo de aire acondicionado mecánico (no incluye rendimiento del equipo)</t>
  </si>
  <si>
    <t>3.1 Enfriamiento convectivo nocturno</t>
  </si>
  <si>
    <t>Superficie de ventanas de abrir:</t>
  </si>
  <si>
    <t>Masa Térmica considerada:</t>
  </si>
  <si>
    <r>
      <t>m</t>
    </r>
    <r>
      <rPr>
        <vertAlign val="superscript"/>
        <sz val="10"/>
        <rFont val="Arial"/>
        <family val="2"/>
      </rPr>
      <t>2</t>
    </r>
  </si>
  <si>
    <t>3.2 Ventilación Natural (en localidades o épocas que la temperatura exterior es de confort)</t>
  </si>
  <si>
    <t>Con estas aberturas aseguraríamos la ventilación suficiente para el edificio en los</t>
  </si>
  <si>
    <t xml:space="preserve">Proyecto: </t>
  </si>
  <si>
    <t>Vivienda Perez - Guaymallén, Mendoza</t>
  </si>
  <si>
    <t>Proyecto (vivienda, local comercial, escuela, oficina, etc.)</t>
  </si>
  <si>
    <t>4.2 - Energía ganada por iluminación artificial: (Ingrese la potencia y las horas que permanece encendida)</t>
  </si>
  <si>
    <t>4.3 - Ganancias internas por equipamiento</t>
  </si>
  <si>
    <t>Tomar el valor de consumo en 1h para el electrodoméstico de que se trate y colocarlo cada vez que se utilice en la hora correspondiente</t>
  </si>
  <si>
    <t>la cantidad de tiempo demandada según la siguiente equivalencia: si funciona 1h = colocar 0.5 ; si funciona 30 min. = 0.25 y así siguiendo.</t>
  </si>
  <si>
    <t>En cocina se considera 1 h para almuerzo y cena y 15 minutos para desayuno y mediatarde y si es a gas 1500W por hornalla y 3000 W el horno.</t>
  </si>
  <si>
    <t>Altura interior:</t>
  </si>
  <si>
    <t>Total:</t>
  </si>
  <si>
    <t>CNP:</t>
  </si>
  <si>
    <t>W/°C</t>
  </si>
  <si>
    <t>Concrehaus</t>
  </si>
  <si>
    <t>Ladrillo hueco</t>
  </si>
  <si>
    <t>Espesor [m]</t>
  </si>
  <si>
    <t>Material</t>
  </si>
  <si>
    <t>Muros interiores</t>
  </si>
  <si>
    <t>Muros Int.:</t>
  </si>
  <si>
    <t>Ancho de fachada (m)</t>
  </si>
  <si>
    <r>
      <rPr>
        <b/>
        <sz val="10"/>
        <rFont val="Arial"/>
        <family val="2"/>
      </rPr>
      <t>Muros (m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>)</t>
    </r>
  </si>
  <si>
    <t>Puertas (m2)</t>
  </si>
  <si>
    <t>Ventanas (m2)</t>
  </si>
  <si>
    <t>Sup. Cubierta a calefaccionar</t>
  </si>
  <si>
    <t>Temperatura interior para la ventilación natural</t>
  </si>
  <si>
    <t>Altura  del muro</t>
  </si>
  <si>
    <t>Altura media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</si>
</sst>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&quot;$&quot;#,##0_);\(&quot;$&quot;#,##0\)"/>
    <numFmt numFmtId="165" formatCode="0.0"/>
    <numFmt numFmtId="166" formatCode="0.000"/>
    <numFmt numFmtId="167" formatCode="0.0%"/>
    <numFmt numFmtId="168" formatCode="[$$-2C0A]\ #,##0.0"/>
    <numFmt numFmtId="169" formatCode="&quot;$&quot;\ #,##0.00"/>
    <numFmt numFmtId="170" formatCode="&quot;$&quot;\ #,##0.0"/>
  </numFmts>
  <fonts count="26">
    <font>
      <sz val="10"/>
      <name val="Arial"/>
    </font>
    <font>
      <b/>
      <sz val="18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b/>
      <u/>
      <sz val="10"/>
      <name val="Arial"/>
      <family val="2"/>
    </font>
    <font>
      <vertAlign val="superscript"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4"/>
      <name val="Arial"/>
      <family val="2"/>
    </font>
    <font>
      <sz val="8"/>
      <name val="Arial"/>
      <family val="2"/>
    </font>
    <font>
      <b/>
      <sz val="10"/>
      <color indexed="8"/>
      <name val="Arial"/>
      <family val="2"/>
    </font>
    <font>
      <sz val="10"/>
      <name val="Times New Roman"/>
      <family val="1"/>
    </font>
    <font>
      <sz val="9"/>
      <color indexed="81"/>
      <name val="Tahoma"/>
      <family val="2"/>
    </font>
    <font>
      <b/>
      <vertAlign val="superscript"/>
      <sz val="10"/>
      <name val="Arial"/>
      <family val="2"/>
    </font>
    <font>
      <b/>
      <sz val="9"/>
      <color indexed="81"/>
      <name val="Tahoma"/>
      <family val="2"/>
    </font>
    <font>
      <u/>
      <sz val="8"/>
      <color indexed="81"/>
      <name val="Tahoma"/>
      <family val="2"/>
    </font>
    <font>
      <vertAlign val="superscript"/>
      <sz val="10"/>
      <name val="Aparajita"/>
      <family val="2"/>
    </font>
    <font>
      <sz val="10"/>
      <color rgb="FFFF0000"/>
      <name val="Arial"/>
      <family val="2"/>
    </font>
    <font>
      <sz val="10"/>
      <color indexed="8"/>
      <name val="Arial"/>
      <family val="2"/>
    </font>
    <font>
      <b/>
      <sz val="10"/>
      <color rgb="FFFF0000"/>
      <name val="Arial"/>
      <family val="2"/>
    </font>
    <font>
      <sz val="10"/>
      <color theme="1"/>
      <name val="Calibri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22"/>
        <bgColor indexed="9"/>
      </patternFill>
    </fill>
    <fill>
      <patternFill patternType="solid">
        <fgColor indexed="51"/>
        <bgColor indexed="9"/>
      </patternFill>
    </fill>
    <fill>
      <patternFill patternType="solid">
        <fgColor indexed="43"/>
        <bgColor indexed="9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9"/>
      </patternFill>
    </fill>
    <fill>
      <patternFill patternType="solid">
        <fgColor indexed="43"/>
        <bgColor indexed="2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FFFF99"/>
        <bgColor indexed="9"/>
      </patternFill>
    </fill>
    <fill>
      <patternFill patternType="solid">
        <fgColor rgb="FFFFFF99"/>
        <bgColor indexed="64"/>
      </patternFill>
    </fill>
    <fill>
      <patternFill patternType="solid">
        <fgColor theme="0" tint="-0.249977111117893"/>
        <bgColor indexed="9"/>
      </patternFill>
    </fill>
    <fill>
      <patternFill patternType="solid">
        <fgColor rgb="FFFFFF99"/>
        <bgColor indexed="24"/>
      </patternFill>
    </fill>
    <fill>
      <patternFill patternType="solid">
        <fgColor theme="0" tint="-0.249977111117893"/>
        <bgColor indexed="2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24"/>
      </patternFill>
    </fill>
    <fill>
      <patternFill patternType="solid">
        <fgColor rgb="FFFFC000"/>
        <bgColor indexed="9"/>
      </patternFill>
    </fill>
    <fill>
      <patternFill patternType="solid">
        <fgColor theme="0" tint="-0.34998626667073579"/>
        <bgColor indexed="2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9"/>
      </patternFill>
    </fill>
    <fill>
      <patternFill patternType="solid">
        <fgColor rgb="FFFBF6B7"/>
        <bgColor indexed="64"/>
      </patternFill>
    </fill>
    <fill>
      <patternFill patternType="solid">
        <fgColor theme="6" tint="0.39997558519241921"/>
        <bgColor indexed="9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CC"/>
        <bgColor indexed="64"/>
      </patternFill>
    </fill>
  </fills>
  <borders count="64">
    <border>
      <left/>
      <right/>
      <top/>
      <bottom/>
      <diagonal/>
    </border>
    <border>
      <left/>
      <right/>
      <top style="double">
        <color indexed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8">
    <xf numFmtId="0" fontId="0" fillId="0" borderId="0">
      <alignment vertical="top"/>
    </xf>
    <xf numFmtId="0" fontId="1" fillId="0" borderId="0" applyNumberFormat="0" applyFont="0" applyFill="0" applyAlignment="0" applyProtection="0"/>
    <xf numFmtId="0" fontId="2" fillId="0" borderId="0" applyNumberFormat="0" applyFont="0" applyFill="0" applyAlignment="0" applyProtection="0"/>
    <xf numFmtId="14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0" fontId="9" fillId="0" borderId="1" applyNumberFormat="0" applyFont="0" applyBorder="0" applyAlignment="0" applyProtection="0"/>
  </cellStyleXfs>
  <cellXfs count="665">
    <xf numFmtId="0" fontId="0" fillId="0" borderId="0" xfId="0" applyAlignment="1"/>
    <xf numFmtId="0" fontId="3" fillId="0" borderId="0" xfId="0" applyFont="1" applyAlignment="1"/>
    <xf numFmtId="0" fontId="0" fillId="2" borderId="2" xfId="0" applyFill="1" applyBorder="1" applyAlignment="1"/>
    <xf numFmtId="2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/>
    <xf numFmtId="0" fontId="3" fillId="3" borderId="4" xfId="0" applyFont="1" applyFill="1" applyBorder="1" applyAlignment="1"/>
    <xf numFmtId="0" fontId="3" fillId="4" borderId="0" xfId="0" applyFont="1" applyFill="1" applyAlignment="1"/>
    <xf numFmtId="0" fontId="0" fillId="4" borderId="0" xfId="0" applyFill="1" applyAlignment="1"/>
    <xf numFmtId="0" fontId="3" fillId="4" borderId="6" xfId="0" applyFont="1" applyFill="1" applyBorder="1" applyAlignment="1"/>
    <xf numFmtId="0" fontId="0" fillId="4" borderId="7" xfId="0" applyFill="1" applyBorder="1" applyAlignment="1"/>
    <xf numFmtId="0" fontId="0" fillId="4" borderId="8" xfId="0" applyFill="1" applyBorder="1" applyAlignment="1"/>
    <xf numFmtId="0" fontId="0" fillId="4" borderId="9" xfId="0" applyFill="1" applyBorder="1" applyAlignment="1"/>
    <xf numFmtId="0" fontId="0" fillId="4" borderId="6" xfId="0" applyFill="1" applyBorder="1" applyAlignment="1"/>
    <xf numFmtId="0" fontId="0" fillId="4" borderId="10" xfId="0" applyFill="1" applyBorder="1" applyAlignment="1"/>
    <xf numFmtId="0" fontId="0" fillId="4" borderId="11" xfId="0" applyFill="1" applyBorder="1" applyAlignment="1"/>
    <xf numFmtId="0" fontId="0" fillId="4" borderId="12" xfId="0" applyFill="1" applyBorder="1" applyAlignment="1"/>
    <xf numFmtId="0" fontId="3" fillId="4" borderId="9" xfId="0" applyFont="1" applyFill="1" applyBorder="1" applyAlignment="1"/>
    <xf numFmtId="0" fontId="0" fillId="4" borderId="0" xfId="0" applyFill="1" applyBorder="1" applyAlignment="1"/>
    <xf numFmtId="165" fontId="0" fillId="4" borderId="0" xfId="0" applyNumberFormat="1" applyFill="1" applyBorder="1" applyAlignment="1"/>
    <xf numFmtId="0" fontId="0" fillId="4" borderId="14" xfId="0" applyFill="1" applyBorder="1" applyAlignment="1"/>
    <xf numFmtId="2" fontId="0" fillId="4" borderId="0" xfId="0" applyNumberFormat="1" applyFill="1" applyBorder="1" applyAlignment="1"/>
    <xf numFmtId="0" fontId="5" fillId="4" borderId="9" xfId="0" applyFont="1" applyFill="1" applyBorder="1" applyAlignment="1"/>
    <xf numFmtId="2" fontId="3" fillId="4" borderId="0" xfId="0" applyNumberFormat="1" applyFont="1" applyFill="1" applyBorder="1" applyAlignment="1"/>
    <xf numFmtId="0" fontId="3" fillId="4" borderId="11" xfId="0" applyFont="1" applyFill="1" applyBorder="1" applyAlignment="1"/>
    <xf numFmtId="2" fontId="0" fillId="4" borderId="13" xfId="0" applyNumberFormat="1" applyFill="1" applyBorder="1" applyAlignment="1"/>
    <xf numFmtId="0" fontId="0" fillId="4" borderId="13" xfId="0" applyFill="1" applyBorder="1" applyAlignment="1"/>
    <xf numFmtId="0" fontId="7" fillId="4" borderId="4" xfId="0" applyFont="1" applyFill="1" applyBorder="1" applyAlignment="1"/>
    <xf numFmtId="0" fontId="0" fillId="4" borderId="5" xfId="0" applyFill="1" applyBorder="1" applyAlignment="1"/>
    <xf numFmtId="0" fontId="0" fillId="4" borderId="15" xfId="0" applyFill="1" applyBorder="1" applyAlignment="1"/>
    <xf numFmtId="0" fontId="0" fillId="4" borderId="16" xfId="0" applyFill="1" applyBorder="1" applyAlignment="1"/>
    <xf numFmtId="0" fontId="3" fillId="4" borderId="8" xfId="0" applyFont="1" applyFill="1" applyBorder="1" applyAlignment="1"/>
    <xf numFmtId="0" fontId="0" fillId="4" borderId="17" xfId="0" applyFill="1" applyBorder="1" applyAlignment="1"/>
    <xf numFmtId="0" fontId="3" fillId="4" borderId="3" xfId="0" applyFont="1" applyFill="1" applyBorder="1" applyAlignment="1"/>
    <xf numFmtId="0" fontId="3" fillId="4" borderId="12" xfId="0" applyFont="1" applyFill="1" applyBorder="1" applyAlignment="1">
      <alignment horizontal="center"/>
    </xf>
    <xf numFmtId="165" fontId="3" fillId="4" borderId="0" xfId="0" applyNumberFormat="1" applyFont="1" applyFill="1" applyBorder="1" applyAlignment="1"/>
    <xf numFmtId="166" fontId="0" fillId="4" borderId="0" xfId="0" applyNumberFormat="1" applyFill="1" applyBorder="1" applyAlignment="1"/>
    <xf numFmtId="165" fontId="3" fillId="4" borderId="13" xfId="0" applyNumberFormat="1" applyFont="1" applyFill="1" applyBorder="1" applyAlignment="1"/>
    <xf numFmtId="166" fontId="0" fillId="4" borderId="0" xfId="0" applyNumberFormat="1" applyFill="1" applyAlignment="1"/>
    <xf numFmtId="0" fontId="3" fillId="4" borderId="7" xfId="0" applyFont="1" applyFill="1" applyBorder="1" applyAlignment="1"/>
    <xf numFmtId="0" fontId="3" fillId="4" borderId="18" xfId="0" applyFont="1" applyFill="1" applyBorder="1" applyAlignment="1"/>
    <xf numFmtId="0" fontId="0" fillId="4" borderId="19" xfId="0" applyFill="1" applyBorder="1" applyAlignment="1"/>
    <xf numFmtId="0" fontId="0" fillId="4" borderId="20" xfId="0" applyFill="1" applyBorder="1" applyAlignment="1"/>
    <xf numFmtId="0" fontId="0" fillId="4" borderId="4" xfId="0" applyFill="1" applyBorder="1" applyAlignment="1"/>
    <xf numFmtId="0" fontId="3" fillId="4" borderId="16" xfId="0" applyFont="1" applyFill="1" applyBorder="1" applyAlignment="1"/>
    <xf numFmtId="0" fontId="3" fillId="4" borderId="0" xfId="0" applyFont="1" applyFill="1" applyBorder="1" applyAlignment="1"/>
    <xf numFmtId="0" fontId="6" fillId="4" borderId="0" xfId="0" applyFont="1" applyFill="1" applyBorder="1" applyAlignment="1">
      <alignment horizontal="left"/>
    </xf>
    <xf numFmtId="0" fontId="3" fillId="4" borderId="21" xfId="0" applyFont="1" applyFill="1" applyBorder="1" applyAlignment="1"/>
    <xf numFmtId="0" fontId="0" fillId="4" borderId="22" xfId="0" applyFill="1" applyBorder="1" applyAlignment="1"/>
    <xf numFmtId="0" fontId="3" fillId="4" borderId="22" xfId="0" applyFont="1" applyFill="1" applyBorder="1" applyAlignment="1">
      <alignment horizontal="center"/>
    </xf>
    <xf numFmtId="0" fontId="0" fillId="4" borderId="23" xfId="0" applyFill="1" applyBorder="1" applyAlignment="1"/>
    <xf numFmtId="165" fontId="0" fillId="4" borderId="0" xfId="0" applyNumberFormat="1" applyFill="1" applyAlignment="1">
      <alignment horizontal="center"/>
    </xf>
    <xf numFmtId="165" fontId="0" fillId="4" borderId="0" xfId="0" applyNumberFormat="1" applyFill="1" applyBorder="1" applyAlignment="1">
      <alignment horizontal="center"/>
    </xf>
    <xf numFmtId="2" fontId="0" fillId="4" borderId="0" xfId="0" applyNumberFormat="1" applyFill="1" applyBorder="1" applyAlignment="1">
      <alignment horizontal="center"/>
    </xf>
    <xf numFmtId="0" fontId="3" fillId="4" borderId="17" xfId="0" applyFont="1" applyFill="1" applyBorder="1" applyAlignment="1"/>
    <xf numFmtId="0" fontId="3" fillId="4" borderId="22" xfId="0" applyFont="1" applyFill="1" applyBorder="1" applyAlignment="1"/>
    <xf numFmtId="0" fontId="0" fillId="4" borderId="21" xfId="0" applyFill="1" applyBorder="1" applyAlignment="1"/>
    <xf numFmtId="0" fontId="3" fillId="4" borderId="10" xfId="0" applyFont="1" applyFill="1" applyBorder="1" applyAlignment="1"/>
    <xf numFmtId="165" fontId="0" fillId="4" borderId="10" xfId="0" applyNumberFormat="1" applyFill="1" applyBorder="1" applyAlignment="1"/>
    <xf numFmtId="2" fontId="0" fillId="5" borderId="24" xfId="0" applyNumberFormat="1" applyFill="1" applyBorder="1" applyAlignment="1"/>
    <xf numFmtId="165" fontId="0" fillId="4" borderId="24" xfId="0" applyNumberFormat="1" applyFill="1" applyBorder="1" applyAlignment="1"/>
    <xf numFmtId="0" fontId="0" fillId="4" borderId="3" xfId="0" applyFill="1" applyBorder="1" applyAlignment="1"/>
    <xf numFmtId="165" fontId="3" fillId="4" borderId="3" xfId="0" applyNumberFormat="1" applyFont="1" applyFill="1" applyBorder="1" applyAlignment="1"/>
    <xf numFmtId="1" fontId="3" fillId="4" borderId="18" xfId="0" applyNumberFormat="1" applyFont="1" applyFill="1" applyBorder="1" applyAlignment="1"/>
    <xf numFmtId="0" fontId="3" fillId="4" borderId="20" xfId="0" applyFont="1" applyFill="1" applyBorder="1" applyAlignment="1"/>
    <xf numFmtId="2" fontId="0" fillId="4" borderId="0" xfId="0" applyNumberFormat="1" applyFill="1" applyAlignment="1"/>
    <xf numFmtId="0" fontId="3" fillId="4" borderId="0" xfId="0" applyFont="1" applyFill="1" applyAlignment="1">
      <alignment horizontal="center"/>
    </xf>
    <xf numFmtId="0" fontId="0" fillId="4" borderId="24" xfId="0" applyFill="1" applyBorder="1" applyAlignment="1"/>
    <xf numFmtId="0" fontId="0" fillId="4" borderId="25" xfId="0" applyFill="1" applyBorder="1" applyAlignment="1"/>
    <xf numFmtId="0" fontId="3" fillId="4" borderId="4" xfId="0" applyFont="1" applyFill="1" applyBorder="1" applyAlignment="1"/>
    <xf numFmtId="0" fontId="3" fillId="7" borderId="16" xfId="0" applyFont="1" applyFill="1" applyBorder="1">
      <alignment vertical="top"/>
    </xf>
    <xf numFmtId="165" fontId="3" fillId="4" borderId="22" xfId="0" applyNumberFormat="1" applyFont="1" applyFill="1" applyBorder="1" applyAlignment="1"/>
    <xf numFmtId="0" fontId="10" fillId="4" borderId="0" xfId="0" applyFont="1" applyFill="1" applyBorder="1" applyAlignment="1"/>
    <xf numFmtId="0" fontId="10" fillId="4" borderId="0" xfId="0" applyFont="1" applyFill="1" applyBorder="1" applyAlignment="1">
      <alignment horizontal="center"/>
    </xf>
    <xf numFmtId="0" fontId="4" fillId="4" borderId="0" xfId="0" applyFont="1" applyFill="1" applyBorder="1" applyAlignment="1">
      <alignment horizontal="center"/>
    </xf>
    <xf numFmtId="0" fontId="7" fillId="4" borderId="16" xfId="0" applyFont="1" applyFill="1" applyBorder="1" applyAlignment="1"/>
    <xf numFmtId="0" fontId="3" fillId="4" borderId="16" xfId="0" applyFont="1" applyFill="1" applyBorder="1" applyAlignment="1">
      <alignment horizontal="center"/>
    </xf>
    <xf numFmtId="0" fontId="4" fillId="4" borderId="0" xfId="0" applyFont="1" applyFill="1" applyBorder="1" applyAlignment="1"/>
    <xf numFmtId="2" fontId="3" fillId="4" borderId="0" xfId="0" applyNumberFormat="1" applyFont="1" applyFill="1" applyAlignment="1"/>
    <xf numFmtId="0" fontId="0" fillId="0" borderId="0" xfId="0">
      <alignment vertical="top"/>
    </xf>
    <xf numFmtId="167" fontId="0" fillId="0" borderId="0" xfId="0" applyNumberFormat="1" applyAlignment="1"/>
    <xf numFmtId="3" fontId="0" fillId="0" borderId="0" xfId="0" applyNumberFormat="1" applyAlignment="1"/>
    <xf numFmtId="0" fontId="0" fillId="0" borderId="0" xfId="0" applyNumberFormat="1" applyAlignment="1"/>
    <xf numFmtId="167" fontId="0" fillId="4" borderId="0" xfId="0" applyNumberFormat="1" applyFill="1" applyBorder="1" applyAlignment="1"/>
    <xf numFmtId="167" fontId="4" fillId="4" borderId="0" xfId="0" applyNumberFormat="1" applyFont="1" applyFill="1" applyBorder="1" applyAlignment="1">
      <alignment horizontal="center"/>
    </xf>
    <xf numFmtId="167" fontId="0" fillId="4" borderId="0" xfId="0" applyNumberFormat="1" applyFill="1" applyAlignment="1"/>
    <xf numFmtId="167" fontId="10" fillId="4" borderId="0" xfId="0" applyNumberFormat="1" applyFont="1" applyFill="1" applyBorder="1" applyAlignment="1">
      <alignment horizontal="center"/>
    </xf>
    <xf numFmtId="167" fontId="3" fillId="4" borderId="5" xfId="0" applyNumberFormat="1" applyFont="1" applyFill="1" applyBorder="1" applyAlignment="1"/>
    <xf numFmtId="165" fontId="0" fillId="4" borderId="0" xfId="0" applyNumberFormat="1" applyFill="1" applyAlignment="1"/>
    <xf numFmtId="0" fontId="3" fillId="0" borderId="0" xfId="0" applyFont="1">
      <alignment vertical="top"/>
    </xf>
    <xf numFmtId="0" fontId="3" fillId="0" borderId="0" xfId="0" applyFont="1" applyAlignment="1">
      <alignment horizontal="center"/>
    </xf>
    <xf numFmtId="0" fontId="0" fillId="8" borderId="0" xfId="0" applyFill="1">
      <alignment vertical="top"/>
    </xf>
    <xf numFmtId="165" fontId="0" fillId="0" borderId="0" xfId="0" applyNumberFormat="1">
      <alignment vertical="top"/>
    </xf>
    <xf numFmtId="0" fontId="0" fillId="0" borderId="0" xfId="0" applyBorder="1">
      <alignment vertical="top"/>
    </xf>
    <xf numFmtId="167" fontId="3" fillId="0" borderId="0" xfId="0" applyNumberFormat="1" applyFont="1" applyAlignment="1"/>
    <xf numFmtId="0" fontId="0" fillId="9" borderId="25" xfId="0" applyFill="1" applyBorder="1" applyAlignment="1"/>
    <xf numFmtId="0" fontId="3" fillId="7" borderId="0" xfId="0" applyFont="1" applyFill="1">
      <alignment vertical="top"/>
    </xf>
    <xf numFmtId="0" fontId="0" fillId="7" borderId="0" xfId="0" applyFill="1">
      <alignment vertical="top"/>
    </xf>
    <xf numFmtId="0" fontId="3" fillId="7" borderId="0" xfId="0" applyFont="1" applyFill="1" applyAlignment="1">
      <alignment horizontal="center"/>
    </xf>
    <xf numFmtId="165" fontId="0" fillId="7" borderId="0" xfId="0" applyNumberFormat="1" applyFill="1">
      <alignment vertical="top"/>
    </xf>
    <xf numFmtId="0" fontId="0" fillId="7" borderId="8" xfId="0" applyFill="1" applyBorder="1">
      <alignment vertical="top"/>
    </xf>
    <xf numFmtId="0" fontId="0" fillId="7" borderId="6" xfId="0" applyFill="1" applyBorder="1">
      <alignment vertical="top"/>
    </xf>
    <xf numFmtId="0" fontId="3" fillId="7" borderId="24" xfId="0" applyFont="1" applyFill="1" applyBorder="1">
      <alignment vertical="top"/>
    </xf>
    <xf numFmtId="0" fontId="0" fillId="7" borderId="14" xfId="0" applyFill="1" applyBorder="1">
      <alignment vertical="top"/>
    </xf>
    <xf numFmtId="0" fontId="0" fillId="7" borderId="10" xfId="0" applyFill="1" applyBorder="1">
      <alignment vertical="top"/>
    </xf>
    <xf numFmtId="0" fontId="0" fillId="7" borderId="0" xfId="0" applyFill="1" applyBorder="1">
      <alignment vertical="top"/>
    </xf>
    <xf numFmtId="0" fontId="3" fillId="7" borderId="11" xfId="0" applyFont="1" applyFill="1" applyBorder="1">
      <alignment vertical="top"/>
    </xf>
    <xf numFmtId="0" fontId="0" fillId="7" borderId="24" xfId="0" applyFill="1" applyBorder="1">
      <alignment vertical="top"/>
    </xf>
    <xf numFmtId="0" fontId="3" fillId="7" borderId="7" xfId="0" applyFont="1" applyFill="1" applyBorder="1">
      <alignment vertical="top"/>
    </xf>
    <xf numFmtId="0" fontId="0" fillId="7" borderId="7" xfId="0" applyFill="1" applyBorder="1">
      <alignment vertical="top"/>
    </xf>
    <xf numFmtId="0" fontId="3" fillId="7" borderId="6" xfId="0" applyFont="1" applyFill="1" applyBorder="1">
      <alignment vertical="top"/>
    </xf>
    <xf numFmtId="0" fontId="0" fillId="7" borderId="9" xfId="0" applyFill="1" applyBorder="1">
      <alignment vertical="top"/>
    </xf>
    <xf numFmtId="0" fontId="3" fillId="7" borderId="0" xfId="0" applyFont="1" applyFill="1" applyBorder="1">
      <alignment vertical="top"/>
    </xf>
    <xf numFmtId="0" fontId="3" fillId="7" borderId="9" xfId="0" applyFont="1" applyFill="1" applyBorder="1">
      <alignment vertical="top"/>
    </xf>
    <xf numFmtId="0" fontId="3" fillId="7" borderId="14" xfId="0" applyFont="1" applyFill="1" applyBorder="1">
      <alignment vertical="top"/>
    </xf>
    <xf numFmtId="0" fontId="0" fillId="4" borderId="27" xfId="0" applyFill="1" applyBorder="1" applyAlignment="1"/>
    <xf numFmtId="0" fontId="0" fillId="4" borderId="28" xfId="0" applyFill="1" applyBorder="1" applyAlignment="1"/>
    <xf numFmtId="0" fontId="0" fillId="4" borderId="29" xfId="0" applyFill="1" applyBorder="1" applyAlignment="1"/>
    <xf numFmtId="0" fontId="0" fillId="4" borderId="30" xfId="0" applyFill="1" applyBorder="1" applyAlignment="1"/>
    <xf numFmtId="0" fontId="0" fillId="4" borderId="17" xfId="0" applyFill="1" applyBorder="1" applyAlignment="1">
      <alignment horizontal="center"/>
    </xf>
    <xf numFmtId="0" fontId="0" fillId="4" borderId="31" xfId="0" applyFill="1" applyBorder="1" applyAlignment="1">
      <alignment horizontal="center"/>
    </xf>
    <xf numFmtId="0" fontId="0" fillId="4" borderId="32" xfId="0" applyFill="1" applyBorder="1" applyAlignment="1">
      <alignment horizontal="center"/>
    </xf>
    <xf numFmtId="0" fontId="0" fillId="4" borderId="23" xfId="0" applyFill="1" applyBorder="1" applyAlignment="1">
      <alignment horizontal="center"/>
    </xf>
    <xf numFmtId="0" fontId="0" fillId="4" borderId="9" xfId="0" applyFill="1" applyBorder="1" applyAlignment="1">
      <alignment horizontal="center"/>
    </xf>
    <xf numFmtId="0" fontId="0" fillId="4" borderId="11" xfId="0" applyFill="1" applyBorder="1" applyAlignment="1">
      <alignment horizontal="center"/>
    </xf>
    <xf numFmtId="0" fontId="0" fillId="2" borderId="0" xfId="0" applyFill="1" applyAlignment="1"/>
    <xf numFmtId="2" fontId="0" fillId="4" borderId="22" xfId="0" applyNumberFormat="1" applyFill="1" applyBorder="1" applyAlignment="1"/>
    <xf numFmtId="0" fontId="3" fillId="7" borderId="0" xfId="0" applyFont="1" applyFill="1" applyAlignment="1">
      <alignment horizontal="center" vertical="top"/>
    </xf>
    <xf numFmtId="0" fontId="0" fillId="7" borderId="0" xfId="0" applyFill="1" applyAlignment="1">
      <alignment horizontal="center" vertical="top"/>
    </xf>
    <xf numFmtId="165" fontId="0" fillId="8" borderId="0" xfId="0" applyNumberFormat="1" applyFill="1" applyBorder="1" applyAlignment="1"/>
    <xf numFmtId="165" fontId="0" fillId="2" borderId="0" xfId="0" applyNumberFormat="1" applyFill="1" applyBorder="1" applyAlignment="1"/>
    <xf numFmtId="0" fontId="13" fillId="4" borderId="0" xfId="0" applyFont="1" applyFill="1" applyAlignment="1"/>
    <xf numFmtId="168" fontId="3" fillId="4" borderId="14" xfId="0" applyNumberFormat="1" applyFont="1" applyFill="1" applyBorder="1" applyAlignment="1"/>
    <xf numFmtId="168" fontId="3" fillId="4" borderId="12" xfId="0" applyNumberFormat="1" applyFont="1" applyFill="1" applyBorder="1" applyAlignment="1"/>
    <xf numFmtId="0" fontId="3" fillId="4" borderId="10" xfId="0" applyFont="1" applyFill="1" applyBorder="1" applyAlignment="1">
      <alignment horizontal="center"/>
    </xf>
    <xf numFmtId="0" fontId="3" fillId="4" borderId="24" xfId="0" applyFont="1" applyFill="1" applyBorder="1" applyAlignment="1">
      <alignment horizontal="center"/>
    </xf>
    <xf numFmtId="2" fontId="0" fillId="4" borderId="24" xfId="0" applyNumberFormat="1" applyFill="1" applyBorder="1" applyAlignment="1"/>
    <xf numFmtId="0" fontId="3" fillId="4" borderId="24" xfId="0" applyFont="1" applyFill="1" applyBorder="1" applyAlignment="1"/>
    <xf numFmtId="0" fontId="15" fillId="3" borderId="15" xfId="0" applyFont="1" applyFill="1" applyBorder="1" applyAlignment="1"/>
    <xf numFmtId="0" fontId="3" fillId="3" borderId="17" xfId="0" applyFont="1" applyFill="1" applyBorder="1" applyAlignment="1"/>
    <xf numFmtId="0" fontId="0" fillId="4" borderId="2" xfId="0" applyFill="1" applyBorder="1" applyAlignment="1"/>
    <xf numFmtId="0" fontId="4" fillId="4" borderId="0" xfId="0" applyFont="1" applyFill="1" applyAlignment="1"/>
    <xf numFmtId="0" fontId="6" fillId="4" borderId="11" xfId="0" applyFont="1" applyFill="1" applyBorder="1" applyAlignment="1">
      <alignment horizontal="center"/>
    </xf>
    <xf numFmtId="0" fontId="6" fillId="4" borderId="12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0" fillId="4" borderId="12" xfId="0" applyFill="1" applyBorder="1" applyAlignment="1">
      <alignment horizontal="center"/>
    </xf>
    <xf numFmtId="0" fontId="0" fillId="2" borderId="0" xfId="0" applyFill="1" applyAlignment="1">
      <alignment horizontal="center"/>
    </xf>
    <xf numFmtId="2" fontId="3" fillId="4" borderId="0" xfId="0" applyNumberFormat="1" applyFont="1" applyFill="1" applyBorder="1" applyAlignment="1">
      <alignment horizontal="center"/>
    </xf>
    <xf numFmtId="0" fontId="0" fillId="4" borderId="0" xfId="0" applyFill="1" applyBorder="1" applyAlignment="1">
      <alignment horizontal="left"/>
    </xf>
    <xf numFmtId="0" fontId="0" fillId="4" borderId="14" xfId="0" applyFill="1" applyBorder="1" applyAlignment="1">
      <alignment horizontal="center"/>
    </xf>
    <xf numFmtId="0" fontId="0" fillId="4" borderId="0" xfId="0" applyFill="1" applyBorder="1" applyAlignment="1">
      <alignment horizontal="center"/>
    </xf>
    <xf numFmtId="2" fontId="3" fillId="4" borderId="13" xfId="0" applyNumberFormat="1" applyFont="1" applyFill="1" applyBorder="1" applyAlignment="1"/>
    <xf numFmtId="2" fontId="3" fillId="4" borderId="19" xfId="0" applyNumberFormat="1" applyFont="1" applyFill="1" applyBorder="1" applyAlignment="1"/>
    <xf numFmtId="2" fontId="4" fillId="4" borderId="20" xfId="0" applyNumberFormat="1" applyFont="1" applyFill="1" applyBorder="1" applyAlignment="1"/>
    <xf numFmtId="0" fontId="4" fillId="4" borderId="20" xfId="0" applyFont="1" applyFill="1" applyBorder="1" applyAlignment="1"/>
    <xf numFmtId="0" fontId="3" fillId="4" borderId="3" xfId="0" applyFont="1" applyFill="1" applyBorder="1" applyAlignment="1">
      <alignment horizontal="center"/>
    </xf>
    <xf numFmtId="165" fontId="4" fillId="4" borderId="0" xfId="0" applyNumberFormat="1" applyFont="1" applyFill="1" applyBorder="1" applyAlignment="1">
      <alignment horizontal="center"/>
    </xf>
    <xf numFmtId="165" fontId="0" fillId="4" borderId="14" xfId="0" applyNumberFormat="1" applyFill="1" applyBorder="1" applyAlignment="1">
      <alignment horizontal="center"/>
    </xf>
    <xf numFmtId="166" fontId="3" fillId="6" borderId="10" xfId="0" applyNumberFormat="1" applyFont="1" applyFill="1" applyBorder="1" applyAlignment="1">
      <alignment horizontal="center"/>
    </xf>
    <xf numFmtId="166" fontId="0" fillId="4" borderId="0" xfId="0" applyNumberFormat="1" applyFill="1" applyBorder="1" applyAlignment="1">
      <alignment horizontal="center"/>
    </xf>
    <xf numFmtId="165" fontId="3" fillId="6" borderId="24" xfId="0" applyNumberFormat="1" applyFont="1" applyFill="1" applyBorder="1" applyAlignment="1">
      <alignment horizontal="center"/>
    </xf>
    <xf numFmtId="166" fontId="0" fillId="4" borderId="14" xfId="0" applyNumberFormat="1" applyFill="1" applyBorder="1" applyAlignment="1">
      <alignment horizontal="center"/>
    </xf>
    <xf numFmtId="165" fontId="0" fillId="4" borderId="13" xfId="0" applyNumberFormat="1" applyFill="1" applyBorder="1" applyAlignment="1">
      <alignment horizontal="center"/>
    </xf>
    <xf numFmtId="165" fontId="3" fillId="6" borderId="3" xfId="0" applyNumberFormat="1" applyFont="1" applyFill="1" applyBorder="1" applyAlignment="1">
      <alignment horizontal="center"/>
    </xf>
    <xf numFmtId="0" fontId="0" fillId="4" borderId="13" xfId="0" applyFill="1" applyBorder="1" applyAlignment="1">
      <alignment horizontal="center"/>
    </xf>
    <xf numFmtId="165" fontId="0" fillId="4" borderId="12" xfId="0" applyNumberFormat="1" applyFill="1" applyBorder="1" applyAlignment="1">
      <alignment horizontal="center"/>
    </xf>
    <xf numFmtId="0" fontId="0" fillId="10" borderId="0" xfId="0" applyFill="1" applyAlignment="1"/>
    <xf numFmtId="2" fontId="0" fillId="2" borderId="34" xfId="0" applyNumberFormat="1" applyFill="1" applyBorder="1" applyAlignment="1">
      <alignment horizontal="center"/>
    </xf>
    <xf numFmtId="165" fontId="0" fillId="4" borderId="5" xfId="0" applyNumberFormat="1" applyFill="1" applyBorder="1" applyAlignment="1">
      <alignment horizontal="center"/>
    </xf>
    <xf numFmtId="165" fontId="0" fillId="4" borderId="15" xfId="0" applyNumberFormat="1" applyFill="1" applyBorder="1" applyAlignment="1">
      <alignment horizontal="left"/>
    </xf>
    <xf numFmtId="165" fontId="0" fillId="4" borderId="21" xfId="0" applyNumberFormat="1" applyFill="1" applyBorder="1" applyAlignment="1">
      <alignment horizontal="left"/>
    </xf>
    <xf numFmtId="0" fontId="0" fillId="2" borderId="2" xfId="0" applyFill="1" applyBorder="1" applyAlignment="1">
      <alignment horizontal="center"/>
    </xf>
    <xf numFmtId="0" fontId="0" fillId="10" borderId="0" xfId="0" applyFill="1" applyBorder="1" applyAlignment="1"/>
    <xf numFmtId="165" fontId="0" fillId="4" borderId="23" xfId="0" applyNumberFormat="1" applyFill="1" applyBorder="1" applyAlignment="1">
      <alignment horizontal="left"/>
    </xf>
    <xf numFmtId="0" fontId="3" fillId="4" borderId="19" xfId="0" applyFont="1" applyFill="1" applyBorder="1" applyAlignment="1"/>
    <xf numFmtId="165" fontId="3" fillId="4" borderId="19" xfId="0" applyNumberFormat="1" applyFont="1" applyFill="1" applyBorder="1" applyAlignment="1">
      <alignment horizontal="center"/>
    </xf>
    <xf numFmtId="165" fontId="3" fillId="4" borderId="20" xfId="0" applyNumberFormat="1" applyFont="1" applyFill="1" applyBorder="1" applyAlignment="1">
      <alignment horizontal="center"/>
    </xf>
    <xf numFmtId="165" fontId="3" fillId="4" borderId="0" xfId="0" applyNumberFormat="1" applyFont="1" applyFill="1" applyBorder="1" applyAlignment="1">
      <alignment horizontal="center"/>
    </xf>
    <xf numFmtId="165" fontId="0" fillId="4" borderId="0" xfId="0" applyNumberFormat="1" applyFill="1" applyBorder="1" applyAlignment="1">
      <alignment horizontal="left"/>
    </xf>
    <xf numFmtId="0" fontId="0" fillId="11" borderId="0" xfId="0" applyFill="1" applyAlignment="1"/>
    <xf numFmtId="0" fontId="0" fillId="10" borderId="5" xfId="0" applyFill="1" applyBorder="1" applyAlignment="1"/>
    <xf numFmtId="0" fontId="0" fillId="10" borderId="15" xfId="0" applyFill="1" applyBorder="1" applyAlignment="1"/>
    <xf numFmtId="168" fontId="3" fillId="12" borderId="0" xfId="0" applyNumberFormat="1" applyFont="1" applyFill="1" applyBorder="1" applyAlignment="1"/>
    <xf numFmtId="168" fontId="3" fillId="12" borderId="13" xfId="0" applyNumberFormat="1" applyFont="1" applyFill="1" applyBorder="1" applyAlignment="1"/>
    <xf numFmtId="0" fontId="3" fillId="11" borderId="0" xfId="0" applyFont="1" applyFill="1">
      <alignment vertical="top"/>
    </xf>
    <xf numFmtId="0" fontId="3" fillId="10" borderId="0" xfId="0" applyFont="1" applyFill="1" applyAlignment="1"/>
    <xf numFmtId="0" fontId="0" fillId="13" borderId="0" xfId="0" applyFill="1">
      <alignment vertical="top"/>
    </xf>
    <xf numFmtId="0" fontId="4" fillId="13" borderId="0" xfId="0" applyFont="1" applyFill="1">
      <alignment vertical="top"/>
    </xf>
    <xf numFmtId="0" fontId="4" fillId="10" borderId="11" xfId="0" applyFont="1" applyFill="1" applyBorder="1" applyAlignment="1"/>
    <xf numFmtId="166" fontId="0" fillId="4" borderId="2" xfId="0" applyNumberFormat="1" applyFill="1" applyBorder="1" applyAlignment="1"/>
    <xf numFmtId="2" fontId="0" fillId="4" borderId="2" xfId="0" applyNumberFormat="1" applyFill="1" applyBorder="1" applyAlignment="1"/>
    <xf numFmtId="0" fontId="3" fillId="13" borderId="10" xfId="0" applyFont="1" applyFill="1" applyBorder="1">
      <alignment vertical="top"/>
    </xf>
    <xf numFmtId="0" fontId="3" fillId="13" borderId="10" xfId="0" applyFont="1" applyFill="1" applyBorder="1" applyAlignment="1">
      <alignment horizontal="center" vertical="top"/>
    </xf>
    <xf numFmtId="0" fontId="3" fillId="10" borderId="10" xfId="0" applyFont="1" applyFill="1" applyBorder="1" applyAlignment="1">
      <alignment horizontal="center"/>
    </xf>
    <xf numFmtId="0" fontId="3" fillId="13" borderId="3" xfId="0" applyFont="1" applyFill="1" applyBorder="1">
      <alignment vertical="top"/>
    </xf>
    <xf numFmtId="0" fontId="3" fillId="13" borderId="3" xfId="0" applyFont="1" applyFill="1" applyBorder="1" applyAlignment="1">
      <alignment horizontal="center" vertical="top"/>
    </xf>
    <xf numFmtId="0" fontId="3" fillId="10" borderId="3" xfId="0" applyFont="1" applyFill="1" applyBorder="1" applyAlignment="1">
      <alignment horizontal="center"/>
    </xf>
    <xf numFmtId="0" fontId="0" fillId="13" borderId="2" xfId="0" applyFill="1" applyBorder="1">
      <alignment vertical="top"/>
    </xf>
    <xf numFmtId="0" fontId="0" fillId="14" borderId="2" xfId="0" applyFill="1" applyBorder="1" applyAlignment="1">
      <alignment horizontal="center" vertical="top"/>
    </xf>
    <xf numFmtId="0" fontId="0" fillId="10" borderId="2" xfId="0" applyFill="1" applyBorder="1" applyAlignment="1"/>
    <xf numFmtId="0" fontId="0" fillId="15" borderId="2" xfId="0" applyFill="1" applyBorder="1" applyAlignment="1">
      <alignment horizontal="center"/>
    </xf>
    <xf numFmtId="0" fontId="0" fillId="11" borderId="2" xfId="0" applyFill="1" applyBorder="1" applyAlignment="1"/>
    <xf numFmtId="0" fontId="3" fillId="13" borderId="0" xfId="0" applyFont="1" applyFill="1">
      <alignment vertical="top"/>
    </xf>
    <xf numFmtId="0" fontId="0" fillId="13" borderId="25" xfId="0" applyFill="1" applyBorder="1">
      <alignment vertical="top"/>
    </xf>
    <xf numFmtId="0" fontId="0" fillId="10" borderId="26" xfId="0" applyFill="1" applyBorder="1" applyAlignment="1"/>
    <xf numFmtId="2" fontId="0" fillId="13" borderId="0" xfId="0" applyNumberFormat="1" applyFill="1">
      <alignment vertical="top"/>
    </xf>
    <xf numFmtId="0" fontId="3" fillId="13" borderId="18" xfId="0" applyFont="1" applyFill="1" applyBorder="1">
      <alignment vertical="top"/>
    </xf>
    <xf numFmtId="2" fontId="3" fillId="13" borderId="19" xfId="0" applyNumberFormat="1" applyFont="1" applyFill="1" applyBorder="1">
      <alignment vertical="top"/>
    </xf>
    <xf numFmtId="0" fontId="3" fillId="13" borderId="20" xfId="0" applyFont="1" applyFill="1" applyBorder="1">
      <alignment vertical="top"/>
    </xf>
    <xf numFmtId="0" fontId="5" fillId="4" borderId="10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center"/>
    </xf>
    <xf numFmtId="0" fontId="4" fillId="4" borderId="2" xfId="0" applyFont="1" applyFill="1" applyBorder="1" applyAlignment="1"/>
    <xf numFmtId="0" fontId="3" fillId="4" borderId="0" xfId="0" applyFont="1" applyFill="1" applyBorder="1" applyAlignment="1">
      <alignment horizontal="center"/>
    </xf>
    <xf numFmtId="0" fontId="3" fillId="10" borderId="16" xfId="0" applyFont="1" applyFill="1" applyBorder="1" applyAlignment="1"/>
    <xf numFmtId="0" fontId="3" fillId="10" borderId="0" xfId="0" applyFont="1" applyFill="1" applyBorder="1" applyAlignment="1"/>
    <xf numFmtId="0" fontId="0" fillId="11" borderId="5" xfId="0" applyFill="1" applyBorder="1" applyAlignment="1"/>
    <xf numFmtId="0" fontId="3" fillId="4" borderId="42" xfId="0" applyFont="1" applyFill="1" applyBorder="1" applyAlignment="1"/>
    <xf numFmtId="0" fontId="3" fillId="4" borderId="15" xfId="0" applyFont="1" applyFill="1" applyBorder="1" applyAlignment="1"/>
    <xf numFmtId="0" fontId="0" fillId="11" borderId="22" xfId="0" applyFill="1" applyBorder="1" applyAlignment="1"/>
    <xf numFmtId="0" fontId="0" fillId="4" borderId="43" xfId="0" applyFill="1" applyBorder="1" applyAlignment="1"/>
    <xf numFmtId="2" fontId="0" fillId="13" borderId="12" xfId="0" applyNumberFormat="1" applyFill="1" applyBorder="1">
      <alignment vertical="top"/>
    </xf>
    <xf numFmtId="0" fontId="0" fillId="0" borderId="0" xfId="0" applyAlignment="1">
      <alignment horizontal="center" vertical="top"/>
    </xf>
    <xf numFmtId="0" fontId="3" fillId="0" borderId="0" xfId="0" applyFont="1" applyAlignment="1">
      <alignment horizontal="center" vertical="top"/>
    </xf>
    <xf numFmtId="2" fontId="0" fillId="5" borderId="0" xfId="0" applyNumberFormat="1" applyFill="1" applyAlignment="1">
      <alignment horizontal="center" vertical="top"/>
    </xf>
    <xf numFmtId="165" fontId="0" fillId="7" borderId="0" xfId="0" applyNumberFormat="1" applyFill="1" applyAlignment="1">
      <alignment horizontal="center" vertical="top"/>
    </xf>
    <xf numFmtId="165" fontId="0" fillId="0" borderId="0" xfId="0" applyNumberFormat="1" applyAlignment="1">
      <alignment horizontal="center" vertical="top"/>
    </xf>
    <xf numFmtId="0" fontId="0" fillId="5" borderId="0" xfId="0" applyFill="1" applyAlignment="1">
      <alignment horizontal="center" vertical="top"/>
    </xf>
    <xf numFmtId="0" fontId="0" fillId="7" borderId="14" xfId="0" applyFill="1" applyBorder="1" applyAlignment="1">
      <alignment horizontal="center" vertical="top"/>
    </xf>
    <xf numFmtId="0" fontId="0" fillId="7" borderId="8" xfId="0" applyFill="1" applyBorder="1" applyAlignment="1">
      <alignment horizontal="center" vertical="top"/>
    </xf>
    <xf numFmtId="0" fontId="0" fillId="7" borderId="10" xfId="0" applyFill="1" applyBorder="1" applyAlignment="1">
      <alignment horizontal="center" vertical="top"/>
    </xf>
    <xf numFmtId="0" fontId="0" fillId="7" borderId="12" xfId="0" applyFill="1" applyBorder="1" applyAlignment="1">
      <alignment horizontal="center" vertical="top"/>
    </xf>
    <xf numFmtId="0" fontId="0" fillId="7" borderId="0" xfId="0" applyFill="1" applyBorder="1" applyAlignment="1">
      <alignment horizontal="center" vertical="top"/>
    </xf>
    <xf numFmtId="0" fontId="3" fillId="7" borderId="24" xfId="0" applyFont="1" applyFill="1" applyBorder="1" applyAlignment="1">
      <alignment horizontal="center"/>
    </xf>
    <xf numFmtId="0" fontId="0" fillId="7" borderId="6" xfId="0" applyFill="1" applyBorder="1" applyAlignment="1">
      <alignment horizontal="center" vertical="top"/>
    </xf>
    <xf numFmtId="0" fontId="0" fillId="7" borderId="7" xfId="0" applyFill="1" applyBorder="1" applyAlignment="1">
      <alignment horizontal="center" vertical="top"/>
    </xf>
    <xf numFmtId="165" fontId="0" fillId="7" borderId="9" xfId="0" applyNumberFormat="1" applyFill="1" applyBorder="1" applyAlignment="1">
      <alignment horizontal="center" vertical="top"/>
    </xf>
    <xf numFmtId="165" fontId="0" fillId="7" borderId="24" xfId="0" applyNumberFormat="1" applyFill="1" applyBorder="1" applyAlignment="1">
      <alignment horizontal="center" vertical="top"/>
    </xf>
    <xf numFmtId="165" fontId="0" fillId="7" borderId="0" xfId="0" applyNumberFormat="1" applyFill="1" applyBorder="1" applyAlignment="1">
      <alignment horizontal="center" vertical="top"/>
    </xf>
    <xf numFmtId="165" fontId="0" fillId="7" borderId="14" xfId="0" applyNumberFormat="1" applyFill="1" applyBorder="1" applyAlignment="1">
      <alignment horizontal="center" vertical="top"/>
    </xf>
    <xf numFmtId="165" fontId="0" fillId="7" borderId="11" xfId="0" applyNumberFormat="1" applyFill="1" applyBorder="1" applyAlignment="1">
      <alignment horizontal="center" vertical="top"/>
    </xf>
    <xf numFmtId="165" fontId="0" fillId="7" borderId="3" xfId="0" applyNumberFormat="1" applyFill="1" applyBorder="1" applyAlignment="1">
      <alignment horizontal="center" vertical="top"/>
    </xf>
    <xf numFmtId="165" fontId="0" fillId="7" borderId="13" xfId="0" applyNumberFormat="1" applyFill="1" applyBorder="1" applyAlignment="1">
      <alignment horizontal="center" vertical="top"/>
    </xf>
    <xf numFmtId="165" fontId="0" fillId="7" borderId="12" xfId="0" applyNumberFormat="1" applyFill="1" applyBorder="1" applyAlignment="1">
      <alignment horizontal="center" vertical="top"/>
    </xf>
    <xf numFmtId="167" fontId="0" fillId="7" borderId="13" xfId="0" applyNumberFormat="1" applyFill="1" applyBorder="1" applyAlignment="1">
      <alignment horizontal="center" vertical="top"/>
    </xf>
    <xf numFmtId="0" fontId="0" fillId="10" borderId="21" xfId="0" applyFill="1" applyBorder="1" applyAlignment="1"/>
    <xf numFmtId="0" fontId="0" fillId="0" borderId="0" xfId="0" applyFill="1" applyAlignment="1"/>
    <xf numFmtId="0" fontId="0" fillId="0" borderId="0" xfId="0" applyBorder="1" applyAlignment="1"/>
    <xf numFmtId="0" fontId="0" fillId="9" borderId="0" xfId="0" applyFill="1" applyBorder="1" applyAlignment="1"/>
    <xf numFmtId="0" fontId="0" fillId="9" borderId="0" xfId="0" applyFill="1" applyBorder="1" applyAlignment="1">
      <alignment horizontal="center"/>
    </xf>
    <xf numFmtId="0" fontId="3" fillId="0" borderId="0" xfId="0" applyFont="1" applyFill="1" applyAlignment="1"/>
    <xf numFmtId="0" fontId="4" fillId="4" borderId="9" xfId="0" applyFont="1" applyFill="1" applyBorder="1" applyAlignment="1"/>
    <xf numFmtId="0" fontId="3" fillId="4" borderId="13" xfId="0" applyFont="1" applyFill="1" applyBorder="1" applyAlignment="1"/>
    <xf numFmtId="0" fontId="4" fillId="4" borderId="11" xfId="0" applyFont="1" applyFill="1" applyBorder="1" applyAlignment="1"/>
    <xf numFmtId="0" fontId="0" fillId="4" borderId="2" xfId="0" applyFill="1" applyBorder="1" applyAlignment="1">
      <alignment horizontal="right"/>
    </xf>
    <xf numFmtId="2" fontId="0" fillId="4" borderId="2" xfId="0" applyNumberFormat="1" applyFill="1" applyBorder="1" applyAlignment="1">
      <alignment horizontal="right"/>
    </xf>
    <xf numFmtId="0" fontId="4" fillId="4" borderId="6" xfId="0" applyFont="1" applyFill="1" applyBorder="1" applyAlignment="1"/>
    <xf numFmtId="0" fontId="4" fillId="11" borderId="0" xfId="0" applyFont="1" applyFill="1" applyBorder="1" applyAlignment="1"/>
    <xf numFmtId="166" fontId="0" fillId="4" borderId="7" xfId="0" applyNumberFormat="1" applyFill="1" applyBorder="1" applyAlignment="1"/>
    <xf numFmtId="2" fontId="0" fillId="4" borderId="8" xfId="0" applyNumberFormat="1" applyFill="1" applyBorder="1" applyAlignment="1"/>
    <xf numFmtId="2" fontId="0" fillId="4" borderId="14" xfId="0" applyNumberFormat="1" applyFill="1" applyBorder="1" applyAlignment="1"/>
    <xf numFmtId="0" fontId="5" fillId="4" borderId="24" xfId="0" applyFont="1" applyFill="1" applyBorder="1" applyAlignment="1">
      <alignment horizontal="center"/>
    </xf>
    <xf numFmtId="0" fontId="5" fillId="4" borderId="11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0" fillId="7" borderId="4" xfId="0" applyFill="1" applyBorder="1">
      <alignment vertical="top"/>
    </xf>
    <xf numFmtId="0" fontId="0" fillId="7" borderId="5" xfId="0" applyFill="1" applyBorder="1">
      <alignment vertical="top"/>
    </xf>
    <xf numFmtId="0" fontId="0" fillId="7" borderId="15" xfId="0" applyFill="1" applyBorder="1">
      <alignment vertical="top"/>
    </xf>
    <xf numFmtId="0" fontId="0" fillId="7" borderId="16" xfId="0" applyFill="1" applyBorder="1">
      <alignment vertical="top"/>
    </xf>
    <xf numFmtId="0" fontId="0" fillId="7" borderId="21" xfId="0" applyFill="1" applyBorder="1">
      <alignment vertical="top"/>
    </xf>
    <xf numFmtId="0" fontId="0" fillId="7" borderId="17" xfId="0" applyFill="1" applyBorder="1">
      <alignment vertical="top"/>
    </xf>
    <xf numFmtId="0" fontId="0" fillId="14" borderId="22" xfId="0" applyFill="1" applyBorder="1">
      <alignment vertical="top"/>
    </xf>
    <xf numFmtId="0" fontId="0" fillId="7" borderId="23" xfId="0" applyFill="1" applyBorder="1">
      <alignment vertical="top"/>
    </xf>
    <xf numFmtId="0" fontId="3" fillId="7" borderId="4" xfId="0" applyFont="1" applyFill="1" applyBorder="1">
      <alignment vertical="top"/>
    </xf>
    <xf numFmtId="165" fontId="0" fillId="7" borderId="5" xfId="0" applyNumberFormat="1" applyFill="1" applyBorder="1">
      <alignment vertical="top"/>
    </xf>
    <xf numFmtId="2" fontId="0" fillId="7" borderId="0" xfId="0" applyNumberFormat="1" applyFill="1" applyBorder="1">
      <alignment vertical="top"/>
    </xf>
    <xf numFmtId="0" fontId="3" fillId="7" borderId="17" xfId="0" applyFont="1" applyFill="1" applyBorder="1">
      <alignment vertical="top"/>
    </xf>
    <xf numFmtId="0" fontId="0" fillId="7" borderId="22" xfId="0" applyFill="1" applyBorder="1">
      <alignment vertical="top"/>
    </xf>
    <xf numFmtId="2" fontId="0" fillId="7" borderId="22" xfId="0" applyNumberFormat="1" applyFill="1" applyBorder="1">
      <alignment vertical="top"/>
    </xf>
    <xf numFmtId="165" fontId="0" fillId="4" borderId="5" xfId="0" applyNumberFormat="1" applyFill="1" applyBorder="1" applyAlignment="1">
      <alignment horizontal="right"/>
    </xf>
    <xf numFmtId="165" fontId="0" fillId="4" borderId="0" xfId="0" applyNumberFormat="1" applyFill="1" applyBorder="1" applyAlignment="1">
      <alignment horizontal="right"/>
    </xf>
    <xf numFmtId="0" fontId="15" fillId="3" borderId="4" xfId="0" applyFont="1" applyFill="1" applyBorder="1" applyAlignment="1"/>
    <xf numFmtId="0" fontId="15" fillId="3" borderId="17" xfId="0" applyFont="1" applyFill="1" applyBorder="1" applyAlignment="1"/>
    <xf numFmtId="165" fontId="3" fillId="4" borderId="22" xfId="0" applyNumberFormat="1" applyFont="1" applyFill="1" applyBorder="1" applyAlignment="1">
      <alignment horizontal="center"/>
    </xf>
    <xf numFmtId="0" fontId="0" fillId="12" borderId="2" xfId="0" applyFill="1" applyBorder="1" applyAlignment="1"/>
    <xf numFmtId="165" fontId="0" fillId="4" borderId="5" xfId="0" applyNumberFormat="1" applyFill="1" applyBorder="1" applyAlignment="1"/>
    <xf numFmtId="0" fontId="10" fillId="4" borderId="2" xfId="0" applyFont="1" applyFill="1" applyBorder="1" applyAlignment="1"/>
    <xf numFmtId="0" fontId="4" fillId="13" borderId="2" xfId="0" applyFont="1" applyFill="1" applyBorder="1">
      <alignment vertical="top"/>
    </xf>
    <xf numFmtId="0" fontId="0" fillId="14" borderId="2" xfId="0" applyFill="1" applyBorder="1">
      <alignment vertical="top"/>
    </xf>
    <xf numFmtId="0" fontId="4" fillId="14" borderId="2" xfId="0" applyFont="1" applyFill="1" applyBorder="1">
      <alignment vertical="top"/>
    </xf>
    <xf numFmtId="0" fontId="10" fillId="14" borderId="2" xfId="0" applyFont="1" applyFill="1" applyBorder="1">
      <alignment vertical="top"/>
    </xf>
    <xf numFmtId="0" fontId="16" fillId="0" borderId="0" xfId="0" applyFont="1" applyBorder="1" applyAlignment="1">
      <alignment horizontal="justify" vertical="top" wrapText="1"/>
    </xf>
    <xf numFmtId="165" fontId="16" fillId="0" borderId="0" xfId="0" applyNumberFormat="1" applyFont="1" applyBorder="1" applyAlignment="1">
      <alignment horizontal="justify" vertical="top" wrapText="1"/>
    </xf>
    <xf numFmtId="0" fontId="16" fillId="0" borderId="0" xfId="0" applyFont="1" applyFill="1" applyBorder="1" applyAlignment="1">
      <alignment horizontal="justify" vertical="top" wrapText="1"/>
    </xf>
    <xf numFmtId="0" fontId="4" fillId="7" borderId="0" xfId="0" applyFont="1" applyFill="1" applyAlignment="1">
      <alignment horizontal="center" vertical="top"/>
    </xf>
    <xf numFmtId="0" fontId="4" fillId="7" borderId="0" xfId="0" applyFont="1" applyFill="1">
      <alignment vertical="top"/>
    </xf>
    <xf numFmtId="0" fontId="0" fillId="0" borderId="0" xfId="0" applyFill="1" applyBorder="1" applyAlignment="1"/>
    <xf numFmtId="0" fontId="0" fillId="0" borderId="0" xfId="0" applyFont="1" applyFill="1" applyBorder="1">
      <alignment vertical="top"/>
    </xf>
    <xf numFmtId="0" fontId="0" fillId="0" borderId="0" xfId="0" applyFill="1" applyBorder="1" applyAlignment="1">
      <alignment horizontal="center" vertical="top"/>
    </xf>
    <xf numFmtId="0" fontId="3" fillId="0" borderId="0" xfId="0" applyFont="1" applyFill="1" applyBorder="1">
      <alignment vertical="top"/>
    </xf>
    <xf numFmtId="0" fontId="0" fillId="0" borderId="0" xfId="0" applyFill="1" applyBorder="1">
      <alignment vertical="top"/>
    </xf>
    <xf numFmtId="0" fontId="0" fillId="0" borderId="0" xfId="0" applyFont="1" applyFill="1" applyBorder="1" applyAlignment="1">
      <alignment vertical="top"/>
    </xf>
    <xf numFmtId="0" fontId="4" fillId="0" borderId="0" xfId="0" applyFont="1" applyFill="1" applyBorder="1" applyAlignment="1">
      <alignment vertical="top"/>
    </xf>
    <xf numFmtId="0" fontId="3" fillId="7" borderId="15" xfId="0" applyFont="1" applyFill="1" applyBorder="1">
      <alignment vertical="top"/>
    </xf>
    <xf numFmtId="0" fontId="3" fillId="7" borderId="4" xfId="0" applyFont="1" applyFill="1" applyBorder="1" applyAlignment="1">
      <alignment horizontal="left" vertical="top"/>
    </xf>
    <xf numFmtId="0" fontId="4" fillId="7" borderId="36" xfId="0" applyFont="1" applyFill="1" applyBorder="1" applyAlignment="1">
      <alignment horizontal="center" vertical="top"/>
    </xf>
    <xf numFmtId="0" fontId="4" fillId="7" borderId="37" xfId="0" applyFont="1" applyFill="1" applyBorder="1" applyAlignment="1">
      <alignment horizontal="center" vertical="top"/>
    </xf>
    <xf numFmtId="0" fontId="0" fillId="4" borderId="33" xfId="0" applyFill="1" applyBorder="1" applyAlignment="1"/>
    <xf numFmtId="165" fontId="0" fillId="7" borderId="34" xfId="0" applyNumberFormat="1" applyFill="1" applyBorder="1" applyAlignment="1">
      <alignment horizontal="center" vertical="top"/>
    </xf>
    <xf numFmtId="167" fontId="0" fillId="7" borderId="34" xfId="0" applyNumberFormat="1" applyFill="1" applyBorder="1" applyAlignment="1">
      <alignment horizontal="center" vertical="top"/>
    </xf>
    <xf numFmtId="165" fontId="0" fillId="4" borderId="34" xfId="0" applyNumberFormat="1" applyFill="1" applyBorder="1" applyAlignment="1">
      <alignment horizontal="center"/>
    </xf>
    <xf numFmtId="167" fontId="0" fillId="4" borderId="35" xfId="0" applyNumberFormat="1" applyFill="1" applyBorder="1" applyAlignment="1">
      <alignment horizontal="center"/>
    </xf>
    <xf numFmtId="0" fontId="0" fillId="7" borderId="39" xfId="0" applyFill="1" applyBorder="1">
      <alignment vertical="top"/>
    </xf>
    <xf numFmtId="165" fontId="0" fillId="7" borderId="40" xfId="0" applyNumberFormat="1" applyFill="1" applyBorder="1" applyAlignment="1">
      <alignment horizontal="center" vertical="top"/>
    </xf>
    <xf numFmtId="167" fontId="0" fillId="7" borderId="40" xfId="0" applyNumberFormat="1" applyFill="1" applyBorder="1" applyAlignment="1">
      <alignment horizontal="center" vertical="top"/>
    </xf>
    <xf numFmtId="165" fontId="0" fillId="4" borderId="40" xfId="0" applyNumberFormat="1" applyFill="1" applyBorder="1" applyAlignment="1">
      <alignment horizontal="center"/>
    </xf>
    <xf numFmtId="167" fontId="0" fillId="4" borderId="41" xfId="0" applyNumberFormat="1" applyFill="1" applyBorder="1" applyAlignment="1">
      <alignment horizontal="center"/>
    </xf>
    <xf numFmtId="0" fontId="4" fillId="7" borderId="0" xfId="0" applyFont="1" applyFill="1" applyAlignment="1">
      <alignment horizontal="left" vertical="top"/>
    </xf>
    <xf numFmtId="0" fontId="0" fillId="7" borderId="20" xfId="0" applyFill="1" applyBorder="1" applyAlignment="1">
      <alignment horizontal="center" vertical="top"/>
    </xf>
    <xf numFmtId="0" fontId="3" fillId="7" borderId="0" xfId="0" applyFont="1" applyFill="1" applyAlignment="1">
      <alignment horizontal="left" vertical="top"/>
    </xf>
    <xf numFmtId="0" fontId="4" fillId="16" borderId="0" xfId="0" applyFont="1" applyFill="1">
      <alignment vertical="top"/>
    </xf>
    <xf numFmtId="0" fontId="0" fillId="16" borderId="0" xfId="0" applyFill="1">
      <alignment vertical="top"/>
    </xf>
    <xf numFmtId="0" fontId="0" fillId="17" borderId="0" xfId="0" applyFill="1" applyAlignment="1"/>
    <xf numFmtId="0" fontId="3" fillId="7" borderId="18" xfId="0" applyFont="1" applyFill="1" applyBorder="1" applyAlignment="1">
      <alignment horizontal="center" vertical="top"/>
    </xf>
    <xf numFmtId="0" fontId="6" fillId="4" borderId="0" xfId="0" applyFont="1" applyFill="1" applyAlignment="1"/>
    <xf numFmtId="0" fontId="0" fillId="7" borderId="18" xfId="0" applyFill="1" applyBorder="1">
      <alignment vertical="top"/>
    </xf>
    <xf numFmtId="0" fontId="0" fillId="7" borderId="27" xfId="0" applyFill="1" applyBorder="1">
      <alignment vertical="top"/>
    </xf>
    <xf numFmtId="0" fontId="0" fillId="7" borderId="45" xfId="0" applyFill="1" applyBorder="1">
      <alignment vertical="top"/>
    </xf>
    <xf numFmtId="0" fontId="0" fillId="7" borderId="30" xfId="0" applyFill="1" applyBorder="1">
      <alignment vertical="top"/>
    </xf>
    <xf numFmtId="0" fontId="0" fillId="7" borderId="44" xfId="0" applyFill="1" applyBorder="1">
      <alignment vertical="top"/>
    </xf>
    <xf numFmtId="0" fontId="4" fillId="7" borderId="15" xfId="0" applyFont="1" applyFill="1" applyBorder="1">
      <alignment vertical="top"/>
    </xf>
    <xf numFmtId="0" fontId="4" fillId="7" borderId="19" xfId="0" applyFont="1" applyFill="1" applyBorder="1">
      <alignment vertical="top"/>
    </xf>
    <xf numFmtId="0" fontId="4" fillId="7" borderId="20" xfId="0" applyFont="1" applyFill="1" applyBorder="1">
      <alignment vertical="top"/>
    </xf>
    <xf numFmtId="0" fontId="4" fillId="7" borderId="18" xfId="0" applyFont="1" applyFill="1" applyBorder="1" applyAlignment="1">
      <alignment horizontal="center" vertical="top"/>
    </xf>
    <xf numFmtId="0" fontId="0" fillId="8" borderId="20" xfId="0" applyFill="1" applyBorder="1" applyAlignment="1">
      <alignment horizontal="center" vertical="top"/>
    </xf>
    <xf numFmtId="0" fontId="4" fillId="7" borderId="44" xfId="0" applyFont="1" applyFill="1" applyBorder="1">
      <alignment vertical="top"/>
    </xf>
    <xf numFmtId="0" fontId="0" fillId="8" borderId="45" xfId="0" applyFill="1" applyBorder="1" applyAlignment="1">
      <alignment horizontal="center" vertical="top"/>
    </xf>
    <xf numFmtId="0" fontId="0" fillId="8" borderId="30" xfId="0" applyFill="1" applyBorder="1" applyAlignment="1">
      <alignment horizontal="center" vertical="top"/>
    </xf>
    <xf numFmtId="0" fontId="10" fillId="7" borderId="27" xfId="0" applyFont="1" applyFill="1" applyBorder="1" applyAlignment="1">
      <alignment horizontal="center" vertical="top"/>
    </xf>
    <xf numFmtId="0" fontId="4" fillId="7" borderId="21" xfId="0" applyFont="1" applyFill="1" applyBorder="1" applyAlignment="1">
      <alignment horizontal="center" vertical="top"/>
    </xf>
    <xf numFmtId="0" fontId="4" fillId="7" borderId="19" xfId="0" applyFont="1" applyFill="1" applyBorder="1" applyAlignment="1">
      <alignment horizontal="center" vertical="top"/>
    </xf>
    <xf numFmtId="0" fontId="10" fillId="7" borderId="15" xfId="0" applyFont="1" applyFill="1" applyBorder="1" applyAlignment="1">
      <alignment horizontal="center" vertical="top"/>
    </xf>
    <xf numFmtId="0" fontId="3" fillId="7" borderId="27" xfId="0" applyFont="1" applyFill="1" applyBorder="1">
      <alignment vertical="top"/>
    </xf>
    <xf numFmtId="0" fontId="3" fillId="7" borderId="30" xfId="0" applyFont="1" applyFill="1" applyBorder="1">
      <alignment vertical="top"/>
    </xf>
    <xf numFmtId="0" fontId="3" fillId="7" borderId="45" xfId="0" applyFont="1" applyFill="1" applyBorder="1">
      <alignment vertical="top"/>
    </xf>
    <xf numFmtId="0" fontId="0" fillId="7" borderId="22" xfId="0" applyFill="1" applyBorder="1" applyAlignment="1">
      <alignment horizontal="center" vertical="top"/>
    </xf>
    <xf numFmtId="0" fontId="0" fillId="8" borderId="19" xfId="0" applyFill="1" applyBorder="1" applyAlignment="1">
      <alignment horizontal="center" vertical="top"/>
    </xf>
    <xf numFmtId="0" fontId="10" fillId="7" borderId="4" xfId="0" applyFont="1" applyFill="1" applyBorder="1" applyAlignment="1">
      <alignment horizontal="center" vertical="top"/>
    </xf>
    <xf numFmtId="0" fontId="0" fillId="7" borderId="16" xfId="0" applyFill="1" applyBorder="1" applyAlignment="1">
      <alignment horizontal="center" vertical="top"/>
    </xf>
    <xf numFmtId="0" fontId="0" fillId="7" borderId="17" xfId="0" applyFill="1" applyBorder="1" applyAlignment="1">
      <alignment horizontal="center" vertical="top"/>
    </xf>
    <xf numFmtId="0" fontId="0" fillId="8" borderId="21" xfId="0" applyFill="1" applyBorder="1" applyAlignment="1">
      <alignment horizontal="center" vertical="top"/>
    </xf>
    <xf numFmtId="0" fontId="0" fillId="8" borderId="23" xfId="0" applyFill="1" applyBorder="1" applyAlignment="1">
      <alignment horizontal="center" vertical="top"/>
    </xf>
    <xf numFmtId="0" fontId="4" fillId="7" borderId="4" xfId="0" applyFont="1" applyFill="1" applyBorder="1">
      <alignment vertical="top"/>
    </xf>
    <xf numFmtId="0" fontId="0" fillId="7" borderId="21" xfId="0" applyFill="1" applyBorder="1" applyAlignment="1">
      <alignment horizontal="center" vertical="top"/>
    </xf>
    <xf numFmtId="0" fontId="0" fillId="7" borderId="23" xfId="0" applyFill="1" applyBorder="1" applyAlignment="1">
      <alignment horizontal="center" vertical="top"/>
    </xf>
    <xf numFmtId="165" fontId="0" fillId="7" borderId="0" xfId="0" applyNumberFormat="1" applyFill="1" applyBorder="1">
      <alignment vertical="top"/>
    </xf>
    <xf numFmtId="165" fontId="0" fillId="7" borderId="22" xfId="0" applyNumberFormat="1" applyFill="1" applyBorder="1">
      <alignment vertical="top"/>
    </xf>
    <xf numFmtId="0" fontId="0" fillId="11" borderId="0" xfId="0" applyFill="1">
      <alignment vertical="top"/>
    </xf>
    <xf numFmtId="165" fontId="0" fillId="11" borderId="3" xfId="0" applyNumberFormat="1" applyFill="1" applyBorder="1" applyAlignment="1">
      <alignment horizontal="center" vertical="top"/>
    </xf>
    <xf numFmtId="0" fontId="3" fillId="11" borderId="47" xfId="0" applyFont="1" applyFill="1" applyBorder="1" applyAlignment="1"/>
    <xf numFmtId="0" fontId="0" fillId="11" borderId="47" xfId="0" applyFill="1" applyBorder="1" applyAlignment="1"/>
    <xf numFmtId="0" fontId="0" fillId="11" borderId="26" xfId="0" applyFill="1" applyBorder="1" applyAlignment="1"/>
    <xf numFmtId="165" fontId="0" fillId="11" borderId="24" xfId="0" applyNumberFormat="1" applyFill="1" applyBorder="1" applyAlignment="1">
      <alignment horizontal="center" vertical="top"/>
    </xf>
    <xf numFmtId="165" fontId="0" fillId="11" borderId="24" xfId="0" applyNumberFormat="1" applyFill="1" applyBorder="1" applyAlignment="1">
      <alignment horizontal="center"/>
    </xf>
    <xf numFmtId="0" fontId="0" fillId="11" borderId="10" xfId="0" applyFill="1" applyBorder="1" applyAlignment="1"/>
    <xf numFmtId="165" fontId="0" fillId="11" borderId="0" xfId="0" applyNumberFormat="1" applyFill="1" applyAlignment="1"/>
    <xf numFmtId="165" fontId="3" fillId="7" borderId="0" xfId="0" applyNumberFormat="1" applyFont="1" applyFill="1">
      <alignment vertical="top"/>
    </xf>
    <xf numFmtId="167" fontId="0" fillId="0" borderId="0" xfId="0" applyNumberFormat="1" applyAlignment="1">
      <alignment horizontal="center" vertical="top"/>
    </xf>
    <xf numFmtId="167" fontId="0" fillId="0" borderId="0" xfId="0" applyNumberFormat="1">
      <alignment vertical="top"/>
    </xf>
    <xf numFmtId="0" fontId="3" fillId="18" borderId="0" xfId="0" applyFont="1" applyFill="1">
      <alignment vertical="top"/>
    </xf>
    <xf numFmtId="0" fontId="4" fillId="7" borderId="17" xfId="0" applyFont="1" applyFill="1" applyBorder="1">
      <alignment vertical="top"/>
    </xf>
    <xf numFmtId="0" fontId="0" fillId="18" borderId="0" xfId="0" applyFill="1" applyAlignment="1">
      <alignment horizontal="center" vertical="top"/>
    </xf>
    <xf numFmtId="0" fontId="3" fillId="12" borderId="2" xfId="0" applyFont="1" applyFill="1" applyBorder="1" applyAlignment="1"/>
    <xf numFmtId="0" fontId="0" fillId="14" borderId="0" xfId="0" applyFill="1" applyBorder="1">
      <alignment vertical="top"/>
    </xf>
    <xf numFmtId="0" fontId="0" fillId="14" borderId="21" xfId="0" applyFill="1" applyBorder="1">
      <alignment vertical="top"/>
    </xf>
    <xf numFmtId="0" fontId="0" fillId="14" borderId="23" xfId="0" applyFill="1" applyBorder="1">
      <alignment vertical="top"/>
    </xf>
    <xf numFmtId="0" fontId="0" fillId="14" borderId="20" xfId="0" applyFill="1" applyBorder="1">
      <alignment vertical="top"/>
    </xf>
    <xf numFmtId="0" fontId="0" fillId="14" borderId="45" xfId="0" applyFill="1" applyBorder="1">
      <alignment vertical="top"/>
    </xf>
    <xf numFmtId="0" fontId="0" fillId="14" borderId="30" xfId="0" applyFill="1" applyBorder="1">
      <alignment vertical="top"/>
    </xf>
    <xf numFmtId="0" fontId="0" fillId="15" borderId="45" xfId="0" applyFill="1" applyBorder="1" applyAlignment="1">
      <alignment horizontal="center" vertical="top"/>
    </xf>
    <xf numFmtId="0" fontId="0" fillId="15" borderId="30" xfId="0" applyFill="1" applyBorder="1" applyAlignment="1">
      <alignment horizontal="center" vertical="top"/>
    </xf>
    <xf numFmtId="0" fontId="6" fillId="11" borderId="24" xfId="0" applyFont="1" applyFill="1" applyBorder="1" applyAlignment="1"/>
    <xf numFmtId="0" fontId="6" fillId="11" borderId="0" xfId="0" applyFont="1" applyFill="1" applyBorder="1" applyAlignment="1"/>
    <xf numFmtId="0" fontId="6" fillId="11" borderId="3" xfId="0" applyFont="1" applyFill="1" applyBorder="1">
      <alignment vertical="top"/>
    </xf>
    <xf numFmtId="0" fontId="6" fillId="11" borderId="3" xfId="0" applyFont="1" applyFill="1" applyBorder="1" applyAlignment="1"/>
    <xf numFmtId="0" fontId="6" fillId="11" borderId="13" xfId="0" applyFont="1" applyFill="1" applyBorder="1">
      <alignment vertical="top"/>
    </xf>
    <xf numFmtId="0" fontId="0" fillId="11" borderId="52" xfId="0" applyFill="1" applyBorder="1" applyAlignment="1"/>
    <xf numFmtId="0" fontId="6" fillId="11" borderId="53" xfId="0" applyFont="1" applyFill="1" applyBorder="1" applyAlignment="1"/>
    <xf numFmtId="0" fontId="6" fillId="11" borderId="54" xfId="0" applyFont="1" applyFill="1" applyBorder="1" applyAlignment="1"/>
    <xf numFmtId="0" fontId="0" fillId="11" borderId="51" xfId="0" applyFill="1" applyBorder="1" applyAlignment="1"/>
    <xf numFmtId="165" fontId="0" fillId="11" borderId="53" xfId="0" applyNumberFormat="1" applyFill="1" applyBorder="1" applyAlignment="1"/>
    <xf numFmtId="165" fontId="0" fillId="11" borderId="54" xfId="0" applyNumberFormat="1" applyFill="1" applyBorder="1" applyAlignment="1"/>
    <xf numFmtId="165" fontId="0" fillId="11" borderId="55" xfId="0" applyNumberFormat="1" applyFill="1" applyBorder="1" applyAlignment="1">
      <alignment horizontal="center" vertical="top"/>
    </xf>
    <xf numFmtId="165" fontId="0" fillId="11" borderId="56" xfId="0" applyNumberFormat="1" applyFill="1" applyBorder="1" applyAlignment="1">
      <alignment horizontal="center" vertical="top"/>
    </xf>
    <xf numFmtId="0" fontId="0" fillId="11" borderId="53" xfId="0" applyFill="1" applyBorder="1" applyAlignment="1"/>
    <xf numFmtId="165" fontId="0" fillId="4" borderId="21" xfId="0" applyNumberFormat="1" applyFill="1" applyBorder="1" applyAlignment="1"/>
    <xf numFmtId="165" fontId="0" fillId="7" borderId="16" xfId="0" applyNumberFormat="1" applyFill="1" applyBorder="1" applyAlignment="1">
      <alignment horizontal="center" vertical="top"/>
    </xf>
    <xf numFmtId="165" fontId="0" fillId="7" borderId="17" xfId="0" applyNumberFormat="1" applyFill="1" applyBorder="1" applyAlignment="1">
      <alignment horizontal="center" vertical="top"/>
    </xf>
    <xf numFmtId="0" fontId="4" fillId="13" borderId="0" xfId="0" applyFont="1" applyFill="1" applyAlignment="1">
      <alignment vertical="top"/>
    </xf>
    <xf numFmtId="0" fontId="3" fillId="19" borderId="4" xfId="0" applyFont="1" applyFill="1" applyBorder="1" applyAlignment="1"/>
    <xf numFmtId="0" fontId="3" fillId="19" borderId="15" xfId="0" applyFont="1" applyFill="1" applyBorder="1" applyAlignment="1"/>
    <xf numFmtId="0" fontId="0" fillId="20" borderId="49" xfId="0" applyFill="1" applyBorder="1" applyAlignment="1"/>
    <xf numFmtId="0" fontId="0" fillId="20" borderId="58" xfId="0" applyFill="1" applyBorder="1" applyAlignment="1"/>
    <xf numFmtId="0" fontId="3" fillId="19" borderId="17" xfId="0" applyFont="1" applyFill="1" applyBorder="1" applyAlignment="1"/>
    <xf numFmtId="0" fontId="3" fillId="19" borderId="23" xfId="0" applyFont="1" applyFill="1" applyBorder="1" applyAlignment="1"/>
    <xf numFmtId="0" fontId="0" fillId="20" borderId="59" xfId="0" applyFill="1" applyBorder="1" applyAlignment="1"/>
    <xf numFmtId="0" fontId="0" fillId="20" borderId="48" xfId="0" applyFill="1" applyBorder="1" applyAlignment="1"/>
    <xf numFmtId="0" fontId="0" fillId="20" borderId="60" xfId="0" applyFill="1" applyBorder="1" applyAlignment="1"/>
    <xf numFmtId="0" fontId="0" fillId="20" borderId="61" xfId="0" applyFill="1" applyBorder="1" applyAlignment="1"/>
    <xf numFmtId="0" fontId="0" fillId="20" borderId="62" xfId="0" applyFill="1" applyBorder="1" applyAlignment="1"/>
    <xf numFmtId="0" fontId="0" fillId="20" borderId="23" xfId="0" applyFill="1" applyBorder="1" applyAlignment="1"/>
    <xf numFmtId="0" fontId="3" fillId="21" borderId="16" xfId="0" applyFont="1" applyFill="1" applyBorder="1" applyAlignment="1"/>
    <xf numFmtId="0" fontId="0" fillId="21" borderId="24" xfId="0" applyFill="1" applyBorder="1" applyAlignment="1">
      <alignment horizontal="center"/>
    </xf>
    <xf numFmtId="0" fontId="0" fillId="21" borderId="8" xfId="0" applyFill="1" applyBorder="1" applyAlignment="1"/>
    <xf numFmtId="0" fontId="0" fillId="21" borderId="10" xfId="0" applyFill="1" applyBorder="1" applyAlignment="1"/>
    <xf numFmtId="0" fontId="0" fillId="21" borderId="37" xfId="0" applyFill="1" applyBorder="1" applyAlignment="1"/>
    <xf numFmtId="0" fontId="3" fillId="21" borderId="16" xfId="0" applyFont="1" applyFill="1" applyBorder="1" applyAlignment="1">
      <alignment horizontal="center"/>
    </xf>
    <xf numFmtId="165" fontId="0" fillId="21" borderId="12" xfId="0" applyNumberFormat="1" applyFill="1" applyBorder="1" applyAlignment="1"/>
    <xf numFmtId="165" fontId="0" fillId="21" borderId="3" xfId="0" applyNumberFormat="1" applyFill="1" applyBorder="1" applyAlignment="1"/>
    <xf numFmtId="165" fontId="0" fillId="21" borderId="38" xfId="0" applyNumberFormat="1" applyFill="1" applyBorder="1" applyAlignment="1"/>
    <xf numFmtId="0" fontId="3" fillId="22" borderId="0" xfId="0" applyFont="1" applyFill="1" applyAlignment="1"/>
    <xf numFmtId="0" fontId="0" fillId="22" borderId="0" xfId="0" applyFill="1" applyAlignment="1"/>
    <xf numFmtId="0" fontId="4" fillId="22" borderId="0" xfId="0" applyFont="1" applyFill="1" applyAlignment="1"/>
    <xf numFmtId="0" fontId="3" fillId="22" borderId="0" xfId="0" applyFont="1" applyFill="1" applyAlignment="1">
      <alignment horizontal="left"/>
    </xf>
    <xf numFmtId="0" fontId="3" fillId="22" borderId="33" xfId="0" applyFont="1" applyFill="1" applyBorder="1" applyAlignment="1"/>
    <xf numFmtId="0" fontId="3" fillId="22" borderId="39" xfId="0" applyFont="1" applyFill="1" applyBorder="1" applyAlignment="1"/>
    <xf numFmtId="0" fontId="3" fillId="22" borderId="34" xfId="0" applyFont="1" applyFill="1" applyBorder="1" applyAlignment="1">
      <alignment horizontal="center"/>
    </xf>
    <xf numFmtId="0" fontId="3" fillId="22" borderId="35" xfId="0" applyFont="1" applyFill="1" applyBorder="1" applyAlignment="1">
      <alignment horizontal="center"/>
    </xf>
    <xf numFmtId="0" fontId="3" fillId="22" borderId="40" xfId="0" applyFont="1" applyFill="1" applyBorder="1" applyAlignment="1">
      <alignment horizontal="center"/>
    </xf>
    <xf numFmtId="0" fontId="3" fillId="22" borderId="4" xfId="0" applyFont="1" applyFill="1" applyBorder="1">
      <alignment vertical="top"/>
    </xf>
    <xf numFmtId="165" fontId="3" fillId="22" borderId="5" xfId="0" applyNumberFormat="1" applyFont="1" applyFill="1" applyBorder="1">
      <alignment vertical="top"/>
    </xf>
    <xf numFmtId="0" fontId="3" fillId="22" borderId="16" xfId="0" applyFont="1" applyFill="1" applyBorder="1">
      <alignment vertical="top"/>
    </xf>
    <xf numFmtId="165" fontId="3" fillId="22" borderId="0" xfId="0" applyNumberFormat="1" applyFont="1" applyFill="1" applyBorder="1">
      <alignment vertical="top"/>
    </xf>
    <xf numFmtId="0" fontId="3" fillId="22" borderId="17" xfId="0" applyFont="1" applyFill="1" applyBorder="1">
      <alignment vertical="top"/>
    </xf>
    <xf numFmtId="165" fontId="3" fillId="22" borderId="22" xfId="0" applyNumberFormat="1" applyFont="1" applyFill="1" applyBorder="1">
      <alignment vertical="top"/>
    </xf>
    <xf numFmtId="0" fontId="3" fillId="22" borderId="0" xfId="0" applyFont="1" applyFill="1">
      <alignment vertical="top"/>
    </xf>
    <xf numFmtId="165" fontId="0" fillId="22" borderId="0" xfId="0" applyNumberFormat="1" applyFill="1" applyAlignment="1"/>
    <xf numFmtId="0" fontId="0" fillId="20" borderId="0" xfId="0" applyFill="1" applyBorder="1" applyAlignment="1"/>
    <xf numFmtId="165" fontId="0" fillId="20" borderId="21" xfId="0" applyNumberFormat="1" applyFill="1" applyBorder="1" applyAlignment="1"/>
    <xf numFmtId="165" fontId="0" fillId="20" borderId="16" xfId="0" applyNumberFormat="1" applyFill="1" applyBorder="1" applyAlignment="1"/>
    <xf numFmtId="0" fontId="4" fillId="20" borderId="22" xfId="0" applyFont="1" applyFill="1" applyBorder="1" applyAlignment="1"/>
    <xf numFmtId="0" fontId="4" fillId="20" borderId="17" xfId="0" applyFont="1" applyFill="1" applyBorder="1" applyAlignment="1"/>
    <xf numFmtId="165" fontId="0" fillId="20" borderId="23" xfId="0" applyNumberFormat="1" applyFill="1" applyBorder="1" applyAlignment="1"/>
    <xf numFmtId="0" fontId="0" fillId="19" borderId="4" xfId="0" applyFill="1" applyBorder="1" applyAlignment="1"/>
    <xf numFmtId="0" fontId="0" fillId="19" borderId="5" xfId="0" applyFill="1" applyBorder="1" applyAlignment="1"/>
    <xf numFmtId="0" fontId="0" fillId="19" borderId="15" xfId="0" applyFill="1" applyBorder="1" applyAlignment="1"/>
    <xf numFmtId="0" fontId="3" fillId="19" borderId="47" xfId="0" applyFont="1" applyFill="1" applyBorder="1" applyAlignment="1"/>
    <xf numFmtId="0" fontId="3" fillId="19" borderId="48" xfId="0" applyFont="1" applyFill="1" applyBorder="1" applyAlignment="1"/>
    <xf numFmtId="0" fontId="3" fillId="19" borderId="49" xfId="0" applyFont="1" applyFill="1" applyBorder="1" applyAlignment="1"/>
    <xf numFmtId="0" fontId="3" fillId="19" borderId="26" xfId="0" applyFont="1" applyFill="1" applyBorder="1" applyAlignment="1"/>
    <xf numFmtId="0" fontId="3" fillId="23" borderId="63" xfId="0" applyFont="1" applyFill="1" applyBorder="1" applyAlignment="1"/>
    <xf numFmtId="0" fontId="0" fillId="23" borderId="8" xfId="0" applyFill="1" applyBorder="1" applyAlignment="1">
      <alignment horizontal="center"/>
    </xf>
    <xf numFmtId="165" fontId="0" fillId="23" borderId="8" xfId="0" applyNumberFormat="1" applyFill="1" applyBorder="1" applyAlignment="1"/>
    <xf numFmtId="165" fontId="0" fillId="23" borderId="10" xfId="0" applyNumberFormat="1" applyFill="1" applyBorder="1" applyAlignment="1"/>
    <xf numFmtId="165" fontId="0" fillId="23" borderId="37" xfId="0" applyNumberFormat="1" applyFill="1" applyBorder="1" applyAlignment="1"/>
    <xf numFmtId="0" fontId="3" fillId="23" borderId="57" xfId="0" applyFont="1" applyFill="1" applyBorder="1" applyAlignment="1">
      <alignment horizontal="center"/>
    </xf>
    <xf numFmtId="0" fontId="4" fillId="23" borderId="12" xfId="0" applyFont="1" applyFill="1" applyBorder="1" applyAlignment="1">
      <alignment horizontal="center"/>
    </xf>
    <xf numFmtId="2" fontId="0" fillId="23" borderId="12" xfId="0" applyNumberFormat="1" applyFill="1" applyBorder="1" applyAlignment="1"/>
    <xf numFmtId="2" fontId="0" fillId="23" borderId="3" xfId="0" applyNumberFormat="1" applyFill="1" applyBorder="1" applyAlignment="1"/>
    <xf numFmtId="2" fontId="0" fillId="23" borderId="38" xfId="0" applyNumberFormat="1" applyFill="1" applyBorder="1" applyAlignment="1"/>
    <xf numFmtId="0" fontId="3" fillId="23" borderId="17" xfId="0" applyFont="1" applyFill="1" applyBorder="1" applyAlignment="1"/>
    <xf numFmtId="0" fontId="0" fillId="23" borderId="50" xfId="0" applyFill="1" applyBorder="1" applyAlignment="1">
      <alignment horizontal="center"/>
    </xf>
    <xf numFmtId="2" fontId="0" fillId="23" borderId="46" xfId="0" applyNumberFormat="1" applyFill="1" applyBorder="1" applyAlignment="1"/>
    <xf numFmtId="2" fontId="0" fillId="23" borderId="40" xfId="0" applyNumberFormat="1" applyFill="1" applyBorder="1" applyAlignment="1"/>
    <xf numFmtId="2" fontId="0" fillId="23" borderId="41" xfId="0" applyNumberFormat="1" applyFill="1" applyBorder="1" applyAlignment="1"/>
    <xf numFmtId="0" fontId="3" fillId="24" borderId="33" xfId="0" applyFont="1" applyFill="1" applyBorder="1" applyAlignment="1"/>
    <xf numFmtId="0" fontId="0" fillId="24" borderId="34" xfId="0" applyFill="1" applyBorder="1" applyAlignment="1"/>
    <xf numFmtId="0" fontId="0" fillId="24" borderId="35" xfId="0" applyFill="1" applyBorder="1" applyAlignment="1"/>
    <xf numFmtId="0" fontId="3" fillId="24" borderId="39" xfId="0" applyFont="1" applyFill="1" applyBorder="1" applyAlignment="1"/>
    <xf numFmtId="0" fontId="0" fillId="24" borderId="40" xfId="0" applyFill="1" applyBorder="1" applyAlignment="1"/>
    <xf numFmtId="0" fontId="0" fillId="24" borderId="41" xfId="0" applyFill="1" applyBorder="1" applyAlignment="1"/>
    <xf numFmtId="0" fontId="3" fillId="20" borderId="41" xfId="0" applyFont="1" applyFill="1" applyBorder="1" applyAlignment="1">
      <alignment horizontal="center"/>
    </xf>
    <xf numFmtId="0" fontId="4" fillId="7" borderId="0" xfId="0" applyFont="1" applyFill="1" applyBorder="1">
      <alignment vertical="top"/>
    </xf>
    <xf numFmtId="0" fontId="3" fillId="17" borderId="4" xfId="0" applyFont="1" applyFill="1" applyBorder="1" applyAlignment="1">
      <alignment horizontal="left"/>
    </xf>
    <xf numFmtId="0" fontId="0" fillId="17" borderId="5" xfId="0" applyFill="1" applyBorder="1" applyAlignment="1">
      <alignment horizontal="left"/>
    </xf>
    <xf numFmtId="0" fontId="0" fillId="16" borderId="5" xfId="0" applyFill="1" applyBorder="1" applyAlignment="1">
      <alignment horizontal="left" vertical="top"/>
    </xf>
    <xf numFmtId="0" fontId="3" fillId="19" borderId="17" xfId="0" applyFont="1" applyFill="1" applyBorder="1" applyAlignment="1">
      <alignment horizontal="left"/>
    </xf>
    <xf numFmtId="0" fontId="3" fillId="19" borderId="22" xfId="0" applyFont="1" applyFill="1" applyBorder="1" applyAlignment="1">
      <alignment horizontal="left"/>
    </xf>
    <xf numFmtId="0" fontId="0" fillId="19" borderId="22" xfId="0" applyFill="1" applyBorder="1" applyAlignment="1">
      <alignment horizontal="left"/>
    </xf>
    <xf numFmtId="0" fontId="0" fillId="17" borderId="15" xfId="0" applyFill="1" applyBorder="1" applyAlignment="1">
      <alignment horizontal="left"/>
    </xf>
    <xf numFmtId="0" fontId="0" fillId="19" borderId="23" xfId="0" applyFill="1" applyBorder="1" applyAlignment="1">
      <alignment horizontal="left"/>
    </xf>
    <xf numFmtId="0" fontId="3" fillId="7" borderId="16" xfId="0" applyFont="1" applyFill="1" applyBorder="1" applyAlignment="1">
      <alignment vertical="top"/>
    </xf>
    <xf numFmtId="2" fontId="0" fillId="0" borderId="0" xfId="0" applyNumberFormat="1" applyAlignment="1"/>
    <xf numFmtId="0" fontId="0" fillId="0" borderId="26" xfId="0" applyFill="1" applyBorder="1" applyAlignment="1"/>
    <xf numFmtId="0" fontId="3" fillId="15" borderId="2" xfId="0" applyFont="1" applyFill="1" applyBorder="1" applyAlignment="1"/>
    <xf numFmtId="0" fontId="4" fillId="15" borderId="2" xfId="0" applyFont="1" applyFill="1" applyBorder="1" applyAlignment="1"/>
    <xf numFmtId="0" fontId="4" fillId="25" borderId="2" xfId="0" applyFont="1" applyFill="1" applyBorder="1" applyAlignment="1"/>
    <xf numFmtId="0" fontId="0" fillId="25" borderId="2" xfId="0" applyFill="1" applyBorder="1" applyAlignment="1"/>
    <xf numFmtId="0" fontId="15" fillId="3" borderId="15" xfId="0" applyFont="1" applyFill="1" applyBorder="1" applyAlignment="1">
      <alignment horizontal="center"/>
    </xf>
    <xf numFmtId="0" fontId="15" fillId="3" borderId="23" xfId="0" applyFont="1" applyFill="1" applyBorder="1" applyAlignment="1">
      <alignment horizontal="center"/>
    </xf>
    <xf numFmtId="0" fontId="15" fillId="3" borderId="27" xfId="0" applyFont="1" applyFill="1" applyBorder="1" applyAlignment="1">
      <alignment horizontal="center"/>
    </xf>
    <xf numFmtId="0" fontId="15" fillId="3" borderId="30" xfId="0" applyFont="1" applyFill="1" applyBorder="1" applyAlignment="1">
      <alignment horizontal="center"/>
    </xf>
    <xf numFmtId="0" fontId="3" fillId="3" borderId="27" xfId="0" applyFont="1" applyFill="1" applyBorder="1" applyAlignment="1">
      <alignment horizontal="center"/>
    </xf>
    <xf numFmtId="0" fontId="3" fillId="3" borderId="30" xfId="0" applyFont="1" applyFill="1" applyBorder="1" applyAlignment="1">
      <alignment horizontal="center"/>
    </xf>
    <xf numFmtId="0" fontId="15" fillId="3" borderId="21" xfId="0" applyFont="1" applyFill="1" applyBorder="1" applyAlignment="1"/>
    <xf numFmtId="0" fontId="4" fillId="25" borderId="0" xfId="0" applyFont="1" applyFill="1" applyBorder="1" applyAlignment="1"/>
    <xf numFmtId="0" fontId="0" fillId="25" borderId="0" xfId="0" applyFill="1" applyBorder="1" applyAlignment="1"/>
    <xf numFmtId="167" fontId="0" fillId="0" borderId="0" xfId="0" applyNumberFormat="1" applyBorder="1" applyAlignment="1"/>
    <xf numFmtId="165" fontId="0" fillId="0" borderId="0" xfId="0" applyNumberFormat="1" applyBorder="1" applyAlignment="1"/>
    <xf numFmtId="0" fontId="0" fillId="0" borderId="2" xfId="0" applyBorder="1" applyAlignment="1"/>
    <xf numFmtId="165" fontId="23" fillId="0" borderId="0" xfId="0" applyNumberFormat="1" applyFont="1" applyAlignment="1">
      <alignment horizontal="right"/>
    </xf>
    <xf numFmtId="0" fontId="0" fillId="11" borderId="0" xfId="0" applyFill="1" applyAlignment="1">
      <alignment horizontal="center"/>
    </xf>
    <xf numFmtId="0" fontId="23" fillId="0" borderId="0" xfId="0" applyNumberFormat="1" applyFont="1" applyAlignment="1">
      <alignment horizontal="right"/>
    </xf>
    <xf numFmtId="0" fontId="0" fillId="0" borderId="0" xfId="0" applyNumberFormat="1" applyAlignment="1">
      <alignment horizontal="right"/>
    </xf>
    <xf numFmtId="165" fontId="0" fillId="0" borderId="0" xfId="0" applyNumberFormat="1" applyAlignment="1">
      <alignment horizontal="right"/>
    </xf>
    <xf numFmtId="0" fontId="23" fillId="0" borderId="0" xfId="0" applyFont="1" applyAlignment="1"/>
    <xf numFmtId="0" fontId="4" fillId="0" borderId="0" xfId="0" applyFont="1" applyFill="1" applyBorder="1" applyAlignment="1"/>
    <xf numFmtId="0" fontId="24" fillId="11" borderId="0" xfId="0" applyFont="1" applyFill="1" applyAlignment="1"/>
    <xf numFmtId="0" fontId="4" fillId="11" borderId="0" xfId="0" applyFont="1" applyFill="1" applyAlignment="1"/>
    <xf numFmtId="0" fontId="22" fillId="13" borderId="0" xfId="0" applyFont="1" applyFill="1">
      <alignment vertical="top"/>
    </xf>
    <xf numFmtId="0" fontId="24" fillId="13" borderId="0" xfId="0" applyFont="1" applyFill="1">
      <alignment vertical="top"/>
    </xf>
    <xf numFmtId="0" fontId="22" fillId="7" borderId="0" xfId="0" applyFont="1" applyFill="1">
      <alignment vertical="top"/>
    </xf>
    <xf numFmtId="0" fontId="24" fillId="4" borderId="0" xfId="0" applyFont="1" applyFill="1" applyAlignment="1"/>
    <xf numFmtId="0" fontId="4" fillId="11" borderId="6" xfId="0" applyFont="1" applyFill="1" applyBorder="1" applyAlignment="1"/>
    <xf numFmtId="0" fontId="0" fillId="11" borderId="7" xfId="0" applyFill="1" applyBorder="1" applyAlignment="1"/>
    <xf numFmtId="165" fontId="0" fillId="15" borderId="7" xfId="0" applyNumberFormat="1" applyFill="1" applyBorder="1" applyAlignment="1"/>
    <xf numFmtId="0" fontId="0" fillId="11" borderId="8" xfId="0" applyFill="1" applyBorder="1" applyAlignment="1"/>
    <xf numFmtId="0" fontId="0" fillId="10" borderId="11" xfId="0" applyFill="1" applyBorder="1" applyAlignment="1"/>
    <xf numFmtId="0" fontId="0" fillId="10" borderId="13" xfId="0" applyFill="1" applyBorder="1" applyAlignment="1"/>
    <xf numFmtId="0" fontId="0" fillId="10" borderId="12" xfId="0" applyFill="1" applyBorder="1" applyAlignment="1"/>
    <xf numFmtId="0" fontId="3" fillId="0" borderId="18" xfId="0" applyFont="1" applyBorder="1" applyAlignment="1">
      <alignment horizontal="center"/>
    </xf>
    <xf numFmtId="0" fontId="3" fillId="24" borderId="19" xfId="0" applyFont="1" applyFill="1" applyBorder="1" applyAlignment="1">
      <alignment horizontal="left"/>
    </xf>
    <xf numFmtId="0" fontId="3" fillId="24" borderId="19" xfId="0" applyFont="1" applyFill="1" applyBorder="1" applyAlignment="1">
      <alignment horizontal="center"/>
    </xf>
    <xf numFmtId="0" fontId="3" fillId="24" borderId="20" xfId="0" applyFont="1" applyFill="1" applyBorder="1" applyAlignment="1">
      <alignment horizontal="center"/>
    </xf>
    <xf numFmtId="0" fontId="3" fillId="0" borderId="18" xfId="0" applyFont="1" applyBorder="1" applyAlignment="1">
      <alignment horizontal="left"/>
    </xf>
    <xf numFmtId="0" fontId="0" fillId="0" borderId="19" xfId="0" applyBorder="1" applyAlignment="1"/>
    <xf numFmtId="0" fontId="0" fillId="0" borderId="0" xfId="0" applyAlignment="1">
      <alignment horizontal="left"/>
    </xf>
    <xf numFmtId="0" fontId="0" fillId="0" borderId="4" xfId="0" applyBorder="1" applyAlignment="1"/>
    <xf numFmtId="0" fontId="0" fillId="0" borderId="5" xfId="0" applyBorder="1" applyAlignment="1"/>
    <xf numFmtId="2" fontId="0" fillId="24" borderId="5" xfId="0" applyNumberFormat="1" applyFill="1" applyBorder="1" applyAlignment="1"/>
    <xf numFmtId="2" fontId="0" fillId="0" borderId="15" xfId="0" applyNumberFormat="1" applyBorder="1" applyAlignment="1"/>
    <xf numFmtId="0" fontId="0" fillId="0" borderId="16" xfId="0" applyBorder="1" applyAlignment="1"/>
    <xf numFmtId="2" fontId="0" fillId="24" borderId="0" xfId="0" applyNumberFormat="1" applyFill="1" applyBorder="1" applyAlignment="1"/>
    <xf numFmtId="2" fontId="0" fillId="0" borderId="21" xfId="0" applyNumberFormat="1" applyBorder="1" applyAlignment="1"/>
    <xf numFmtId="0" fontId="4" fillId="0" borderId="17" xfId="0" applyFont="1" applyBorder="1" applyAlignment="1"/>
    <xf numFmtId="0" fontId="0" fillId="0" borderId="22" xfId="0" applyBorder="1" applyAlignment="1"/>
    <xf numFmtId="2" fontId="0" fillId="24" borderId="22" xfId="0" applyNumberFormat="1" applyFill="1" applyBorder="1" applyAlignment="1"/>
    <xf numFmtId="2" fontId="4" fillId="0" borderId="23" xfId="0" applyNumberFormat="1" applyFont="1" applyBorder="1" applyAlignment="1"/>
    <xf numFmtId="0" fontId="4" fillId="0" borderId="4" xfId="0" applyFont="1" applyBorder="1" applyAlignment="1"/>
    <xf numFmtId="0" fontId="0" fillId="0" borderId="15" xfId="0" applyBorder="1" applyAlignment="1"/>
    <xf numFmtId="0" fontId="0" fillId="0" borderId="21" xfId="0" applyBorder="1" applyAlignment="1"/>
    <xf numFmtId="0" fontId="3" fillId="0" borderId="16" xfId="0" applyFont="1" applyBorder="1" applyAlignment="1"/>
    <xf numFmtId="0" fontId="3" fillId="0" borderId="0" xfId="0" applyFont="1" applyBorder="1" applyAlignment="1">
      <alignment horizontal="center"/>
    </xf>
    <xf numFmtId="165" fontId="0" fillId="24" borderId="0" xfId="0" applyNumberFormat="1" applyFill="1" applyBorder="1" applyAlignment="1"/>
    <xf numFmtId="0" fontId="0" fillId="0" borderId="17" xfId="0" applyBorder="1" applyAlignment="1"/>
    <xf numFmtId="0" fontId="0" fillId="0" borderId="23" xfId="0" applyBorder="1" applyAlignment="1"/>
    <xf numFmtId="0" fontId="3" fillId="0" borderId="4" xfId="0" applyFont="1" applyBorder="1" applyAlignment="1"/>
    <xf numFmtId="0" fontId="4" fillId="0" borderId="16" xfId="0" applyFont="1" applyFill="1" applyBorder="1" applyAlignment="1"/>
    <xf numFmtId="0" fontId="0" fillId="24" borderId="0" xfId="0" applyFill="1" applyBorder="1" applyAlignment="1"/>
    <xf numFmtId="0" fontId="0" fillId="0" borderId="21" xfId="0" applyFill="1" applyBorder="1" applyAlignment="1"/>
    <xf numFmtId="0" fontId="4" fillId="0" borderId="17" xfId="0" applyFont="1" applyFill="1" applyBorder="1" applyAlignment="1"/>
    <xf numFmtId="0" fontId="0" fillId="0" borderId="22" xfId="0" applyFill="1" applyBorder="1" applyAlignment="1"/>
    <xf numFmtId="167" fontId="0" fillId="24" borderId="22" xfId="0" applyNumberFormat="1" applyFill="1" applyBorder="1" applyAlignment="1"/>
    <xf numFmtId="0" fontId="0" fillId="0" borderId="23" xfId="0" applyFill="1" applyBorder="1" applyAlignment="1"/>
    <xf numFmtId="0" fontId="3" fillId="0" borderId="4" xfId="0" applyFont="1" applyFill="1" applyBorder="1" applyAlignment="1"/>
    <xf numFmtId="0" fontId="0" fillId="0" borderId="5" xfId="0" applyFill="1" applyBorder="1" applyAlignment="1"/>
    <xf numFmtId="0" fontId="0" fillId="0" borderId="15" xfId="0" applyFill="1" applyBorder="1" applyAlignment="1"/>
    <xf numFmtId="0" fontId="0" fillId="0" borderId="16" xfId="0" applyFill="1" applyBorder="1" applyAlignment="1"/>
    <xf numFmtId="0" fontId="24" fillId="0" borderId="0" xfId="0" applyFont="1" applyFill="1" applyBorder="1" applyAlignment="1"/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 applyAlignment="1"/>
    <xf numFmtId="165" fontId="4" fillId="24" borderId="0" xfId="0" applyNumberFormat="1" applyFont="1" applyFill="1" applyBorder="1" applyAlignment="1"/>
    <xf numFmtId="169" fontId="0" fillId="24" borderId="0" xfId="0" applyNumberFormat="1" applyFill="1" applyBorder="1" applyAlignment="1"/>
    <xf numFmtId="170" fontId="0" fillId="24" borderId="0" xfId="0" applyNumberFormat="1" applyFill="1" applyBorder="1" applyAlignment="1"/>
    <xf numFmtId="0" fontId="0" fillId="0" borderId="17" xfId="0" applyFill="1" applyBorder="1" applyAlignment="1"/>
    <xf numFmtId="0" fontId="4" fillId="0" borderId="22" xfId="0" applyFont="1" applyFill="1" applyBorder="1" applyAlignment="1"/>
    <xf numFmtId="1" fontId="3" fillId="0" borderId="22" xfId="0" applyNumberFormat="1" applyFont="1" applyFill="1" applyBorder="1" applyAlignment="1"/>
    <xf numFmtId="0" fontId="3" fillId="0" borderId="23" xfId="0" applyFont="1" applyFill="1" applyBorder="1" applyAlignment="1"/>
    <xf numFmtId="0" fontId="3" fillId="0" borderId="5" xfId="0" applyFont="1" applyBorder="1" applyAlignment="1"/>
    <xf numFmtId="0" fontId="4" fillId="0" borderId="0" xfId="0" applyFont="1" applyBorder="1" applyAlignment="1"/>
    <xf numFmtId="0" fontId="3" fillId="0" borderId="0" xfId="0" applyFont="1" applyBorder="1" applyAlignment="1"/>
    <xf numFmtId="0" fontId="3" fillId="0" borderId="4" xfId="0" applyFont="1" applyFill="1" applyBorder="1">
      <alignment vertical="top"/>
    </xf>
    <xf numFmtId="0" fontId="3" fillId="0" borderId="16" xfId="0" applyFont="1" applyFill="1" applyBorder="1">
      <alignment vertical="top"/>
    </xf>
    <xf numFmtId="0" fontId="3" fillId="0" borderId="17" xfId="0" applyFont="1" applyFill="1" applyBorder="1">
      <alignment vertical="top"/>
    </xf>
    <xf numFmtId="0" fontId="3" fillId="0" borderId="5" xfId="0" applyFont="1" applyFill="1" applyBorder="1" applyAlignment="1"/>
    <xf numFmtId="0" fontId="0" fillId="0" borderId="15" xfId="0" applyFill="1" applyBorder="1">
      <alignment vertical="top"/>
    </xf>
    <xf numFmtId="0" fontId="3" fillId="0" borderId="15" xfId="0" applyFont="1" applyFill="1" applyBorder="1">
      <alignment vertical="top"/>
    </xf>
    <xf numFmtId="0" fontId="3" fillId="0" borderId="4" xfId="0" applyFont="1" applyFill="1" applyBorder="1" applyAlignment="1">
      <alignment horizontal="left" vertical="top"/>
    </xf>
    <xf numFmtId="0" fontId="4" fillId="0" borderId="36" xfId="0" applyFont="1" applyFill="1" applyBorder="1" applyAlignment="1">
      <alignment horizontal="center" vertical="top"/>
    </xf>
    <xf numFmtId="0" fontId="4" fillId="0" borderId="37" xfId="0" applyFont="1" applyFill="1" applyBorder="1" applyAlignment="1">
      <alignment horizontal="center" vertical="top"/>
    </xf>
    <xf numFmtId="0" fontId="0" fillId="0" borderId="33" xfId="0" applyFill="1" applyBorder="1" applyAlignment="1"/>
    <xf numFmtId="165" fontId="0" fillId="24" borderId="34" xfId="0" applyNumberFormat="1" applyFill="1" applyBorder="1" applyAlignment="1">
      <alignment horizontal="center" vertical="top"/>
    </xf>
    <xf numFmtId="167" fontId="0" fillId="24" borderId="34" xfId="0" applyNumberFormat="1" applyFill="1" applyBorder="1" applyAlignment="1">
      <alignment horizontal="center" vertical="top"/>
    </xf>
    <xf numFmtId="0" fontId="0" fillId="0" borderId="39" xfId="0" applyFill="1" applyBorder="1">
      <alignment vertical="top"/>
    </xf>
    <xf numFmtId="0" fontId="4" fillId="0" borderId="0" xfId="0" applyFont="1" applyFill="1" applyBorder="1">
      <alignment vertical="top"/>
    </xf>
    <xf numFmtId="0" fontId="0" fillId="24" borderId="0" xfId="0" applyFill="1" applyBorder="1">
      <alignment vertical="top"/>
    </xf>
    <xf numFmtId="0" fontId="3" fillId="0" borderId="5" xfId="0" applyFont="1" applyFill="1" applyBorder="1" applyAlignment="1">
      <alignment vertical="top"/>
    </xf>
    <xf numFmtId="0" fontId="3" fillId="25" borderId="4" xfId="0" applyFont="1" applyFill="1" applyBorder="1" applyAlignment="1"/>
    <xf numFmtId="0" fontId="3" fillId="15" borderId="5" xfId="0" applyFont="1" applyFill="1" applyBorder="1" applyAlignment="1"/>
    <xf numFmtId="0" fontId="0" fillId="15" borderId="5" xfId="0" applyFill="1" applyBorder="1" applyAlignment="1"/>
    <xf numFmtId="0" fontId="0" fillId="15" borderId="15" xfId="0" applyFill="1" applyBorder="1" applyAlignment="1"/>
    <xf numFmtId="0" fontId="4" fillId="25" borderId="17" xfId="0" applyFont="1" applyFill="1" applyBorder="1" applyAlignment="1"/>
    <xf numFmtId="0" fontId="3" fillId="25" borderId="17" xfId="0" applyFont="1" applyFill="1" applyBorder="1" applyAlignment="1"/>
    <xf numFmtId="0" fontId="3" fillId="25" borderId="22" xfId="0" applyFont="1" applyFill="1" applyBorder="1" applyAlignment="1"/>
    <xf numFmtId="0" fontId="0" fillId="25" borderId="22" xfId="0" applyFill="1" applyBorder="1" applyAlignment="1"/>
    <xf numFmtId="0" fontId="0" fillId="25" borderId="23" xfId="0" applyFill="1" applyBorder="1" applyAlignment="1"/>
    <xf numFmtId="0" fontId="5" fillId="4" borderId="0" xfId="0" applyFont="1" applyFill="1" applyBorder="1" applyAlignment="1"/>
    <xf numFmtId="0" fontId="7" fillId="4" borderId="5" xfId="0" applyFont="1" applyFill="1" applyBorder="1" applyAlignment="1"/>
    <xf numFmtId="0" fontId="3" fillId="12" borderId="7" xfId="0" applyFont="1" applyFill="1" applyBorder="1" applyAlignment="1"/>
    <xf numFmtId="0" fontId="3" fillId="12" borderId="0" xfId="0" applyFont="1" applyFill="1" applyBorder="1" applyAlignment="1"/>
    <xf numFmtId="0" fontId="0" fillId="10" borderId="7" xfId="0" applyFill="1" applyBorder="1" applyAlignment="1">
      <alignment horizontal="center"/>
    </xf>
    <xf numFmtId="0" fontId="0" fillId="10" borderId="0" xfId="0" applyFill="1" applyBorder="1" applyAlignment="1">
      <alignment horizontal="center"/>
    </xf>
    <xf numFmtId="0" fontId="25" fillId="4" borderId="0" xfId="0" applyFont="1" applyFill="1" applyAlignment="1"/>
    <xf numFmtId="0" fontId="0" fillId="12" borderId="0" xfId="0" applyFill="1" applyAlignment="1"/>
    <xf numFmtId="0" fontId="0" fillId="2" borderId="0" xfId="0" applyFill="1" applyBorder="1" applyAlignment="1"/>
    <xf numFmtId="0" fontId="0" fillId="2" borderId="13" xfId="0" applyFill="1" applyBorder="1" applyAlignment="1"/>
    <xf numFmtId="0" fontId="4" fillId="0" borderId="16" xfId="0" applyFont="1" applyBorder="1" applyAlignment="1"/>
    <xf numFmtId="0" fontId="3" fillId="11" borderId="18" xfId="0" applyFont="1" applyFill="1" applyBorder="1" applyAlignment="1"/>
    <xf numFmtId="165" fontId="3" fillId="11" borderId="19" xfId="0" applyNumberFormat="1" applyFont="1" applyFill="1" applyBorder="1" applyAlignment="1"/>
    <xf numFmtId="0" fontId="3" fillId="11" borderId="20" xfId="0" applyFont="1" applyFill="1" applyBorder="1" applyAlignment="1"/>
    <xf numFmtId="0" fontId="0" fillId="17" borderId="57" xfId="0" applyFill="1" applyBorder="1" applyAlignment="1"/>
    <xf numFmtId="0" fontId="3" fillId="17" borderId="12" xfId="0" applyFont="1" applyFill="1" applyBorder="1" applyAlignment="1">
      <alignment horizontal="center"/>
    </xf>
    <xf numFmtId="0" fontId="3" fillId="17" borderId="12" xfId="0" applyFont="1" applyFill="1" applyBorder="1" applyAlignment="1"/>
    <xf numFmtId="0" fontId="3" fillId="17" borderId="3" xfId="0" applyFont="1" applyFill="1" applyBorder="1" applyAlignment="1"/>
    <xf numFmtId="0" fontId="3" fillId="17" borderId="38" xfId="0" applyFont="1" applyFill="1" applyBorder="1" applyAlignment="1"/>
    <xf numFmtId="0" fontId="3" fillId="17" borderId="30" xfId="0" applyFont="1" applyFill="1" applyBorder="1" applyAlignment="1"/>
    <xf numFmtId="0" fontId="0" fillId="21" borderId="3" xfId="0" applyFill="1" applyBorder="1" applyAlignment="1"/>
    <xf numFmtId="0" fontId="0" fillId="0" borderId="3" xfId="0" applyBorder="1" applyAlignment="1"/>
    <xf numFmtId="165" fontId="0" fillId="21" borderId="2" xfId="0" applyNumberFormat="1" applyFill="1" applyBorder="1" applyAlignment="1"/>
    <xf numFmtId="166" fontId="0" fillId="23" borderId="40" xfId="0" applyNumberFormat="1" applyFill="1" applyBorder="1" applyAlignment="1"/>
    <xf numFmtId="165" fontId="4" fillId="20" borderId="16" xfId="0" applyNumberFormat="1" applyFont="1" applyFill="1" applyBorder="1" applyAlignment="1"/>
    <xf numFmtId="165" fontId="3" fillId="22" borderId="15" xfId="0" applyNumberFormat="1" applyFont="1" applyFill="1" applyBorder="1">
      <alignment vertical="top"/>
    </xf>
    <xf numFmtId="165" fontId="3" fillId="22" borderId="21" xfId="0" applyNumberFormat="1" applyFont="1" applyFill="1" applyBorder="1">
      <alignment vertical="top"/>
    </xf>
    <xf numFmtId="165" fontId="3" fillId="22" borderId="23" xfId="0" applyNumberFormat="1" applyFont="1" applyFill="1" applyBorder="1">
      <alignment vertical="top"/>
    </xf>
    <xf numFmtId="0" fontId="0" fillId="24" borderId="22" xfId="0" applyFill="1" applyBorder="1">
      <alignment vertical="top"/>
    </xf>
    <xf numFmtId="0" fontId="4" fillId="0" borderId="22" xfId="0" applyFont="1" applyFill="1" applyBorder="1">
      <alignment vertical="top"/>
    </xf>
    <xf numFmtId="0" fontId="0" fillId="0" borderId="0" xfId="0" applyAlignment="1" applyProtection="1">
      <protection locked="0"/>
    </xf>
    <xf numFmtId="0" fontId="6" fillId="4" borderId="6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3" fillId="12" borderId="13" xfId="0" applyFont="1" applyFill="1" applyBorder="1" applyAlignment="1"/>
    <xf numFmtId="0" fontId="0" fillId="10" borderId="13" xfId="0" applyFill="1" applyBorder="1" applyAlignment="1">
      <alignment horizontal="center"/>
    </xf>
    <xf numFmtId="0" fontId="3" fillId="12" borderId="6" xfId="0" applyFont="1" applyFill="1" applyBorder="1" applyAlignment="1"/>
    <xf numFmtId="2" fontId="0" fillId="2" borderId="7" xfId="0" applyNumberFormat="1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3" fillId="12" borderId="9" xfId="0" applyFont="1" applyFill="1" applyBorder="1" applyAlignment="1"/>
    <xf numFmtId="0" fontId="0" fillId="2" borderId="0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3" fillId="12" borderId="11" xfId="0" applyFont="1" applyFill="1" applyBorder="1" applyAlignment="1"/>
    <xf numFmtId="0" fontId="0" fillId="2" borderId="13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12" borderId="0" xfId="0" applyFill="1" applyBorder="1" applyAlignment="1"/>
    <xf numFmtId="0" fontId="5" fillId="4" borderId="6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/>
    </xf>
    <xf numFmtId="0" fontId="5" fillId="4" borderId="9" xfId="0" applyFont="1" applyFill="1" applyBorder="1" applyAlignment="1">
      <alignment horizontal="center" vertical="center"/>
    </xf>
    <xf numFmtId="0" fontId="5" fillId="4" borderId="14" xfId="0" applyFont="1" applyFill="1" applyBorder="1" applyAlignment="1">
      <alignment horizontal="center" vertical="center"/>
    </xf>
    <xf numFmtId="0" fontId="5" fillId="4" borderId="11" xfId="0" applyFont="1" applyFill="1" applyBorder="1" applyAlignment="1">
      <alignment horizontal="center" vertical="center"/>
    </xf>
    <xf numFmtId="0" fontId="5" fillId="4" borderId="12" xfId="0" applyFont="1" applyFill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 wrapText="1"/>
    </xf>
    <xf numFmtId="0" fontId="6" fillId="4" borderId="24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4" fillId="4" borderId="14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justify" vertical="top" wrapText="1"/>
    </xf>
    <xf numFmtId="0" fontId="4" fillId="7" borderId="4" xfId="0" applyFont="1" applyFill="1" applyBorder="1" applyAlignment="1">
      <alignment horizontal="center" vertical="center" wrapText="1"/>
    </xf>
    <xf numFmtId="0" fontId="4" fillId="7" borderId="5" xfId="0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center" vertical="center" wrapText="1"/>
    </xf>
    <xf numFmtId="0" fontId="4" fillId="7" borderId="16" xfId="0" applyFont="1" applyFill="1" applyBorder="1" applyAlignment="1">
      <alignment horizontal="center" vertical="center" wrapText="1"/>
    </xf>
    <xf numFmtId="0" fontId="4" fillId="7" borderId="0" xfId="0" applyFont="1" applyFill="1" applyBorder="1" applyAlignment="1">
      <alignment horizontal="center" vertical="center" wrapText="1"/>
    </xf>
    <xf numFmtId="0" fontId="4" fillId="7" borderId="21" xfId="0" applyFont="1" applyFill="1" applyBorder="1" applyAlignment="1">
      <alignment horizontal="center" vertical="center" wrapText="1"/>
    </xf>
    <xf numFmtId="0" fontId="3" fillId="17" borderId="18" xfId="0" applyFont="1" applyFill="1" applyBorder="1" applyAlignment="1">
      <alignment horizontal="center"/>
    </xf>
    <xf numFmtId="0" fontId="3" fillId="17" borderId="19" xfId="0" applyFont="1" applyFill="1" applyBorder="1" applyAlignment="1">
      <alignment horizontal="center"/>
    </xf>
    <xf numFmtId="0" fontId="3" fillId="17" borderId="20" xfId="0" applyFont="1" applyFill="1" applyBorder="1" applyAlignment="1">
      <alignment horizontal="center"/>
    </xf>
    <xf numFmtId="0" fontId="7" fillId="0" borderId="0" xfId="0" applyFont="1" applyAlignment="1">
      <alignment horizontal="center"/>
    </xf>
  </cellXfs>
  <cellStyles count="8">
    <cellStyle name="Encabezado 1" xfId="1" xr:uid="{00000000-0005-0000-0000-000000000000}"/>
    <cellStyle name="Encabezado 2" xfId="2" xr:uid="{00000000-0005-0000-0000-000001000000}"/>
    <cellStyle name="Fecha" xfId="3" xr:uid="{00000000-0005-0000-0000-000002000000}"/>
    <cellStyle name="Fijo" xfId="4" xr:uid="{00000000-0005-0000-0000-000003000000}"/>
    <cellStyle name="Moneda0" xfId="5" xr:uid="{00000000-0005-0000-0000-000004000000}"/>
    <cellStyle name="Normal" xfId="0" builtinId="0"/>
    <cellStyle name="Punto0" xfId="6" xr:uid="{00000000-0005-0000-0000-000006000000}"/>
    <cellStyle name="Total" xfId="7" builtinId="25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FFCC"/>
      <color rgb="FFFFFF99"/>
      <color rgb="FFFBF6B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AR"/>
              <a:t>Balance Térmico de Verano</a:t>
            </a:r>
          </a:p>
        </c:rich>
      </c:tx>
      <c:layout>
        <c:manualLayout>
          <c:xMode val="edge"/>
          <c:yMode val="edge"/>
          <c:x val="0.21036585365853658"/>
          <c:y val="3.11111111111111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445121951219512"/>
          <c:y val="0.21555602334206456"/>
          <c:w val="0.79420731707317072"/>
          <c:h val="0.52889003665372536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80206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'Balance enfriamiento'!$B$270:$I$270</c:f>
              <c:strCache>
                <c:ptCount val="8"/>
                <c:pt idx="0">
                  <c:v>Muros</c:v>
                </c:pt>
                <c:pt idx="1">
                  <c:v>Techos</c:v>
                </c:pt>
                <c:pt idx="2">
                  <c:v>Vent. Cond.</c:v>
                </c:pt>
                <c:pt idx="3">
                  <c:v>Vent. Rad.</c:v>
                </c:pt>
                <c:pt idx="4">
                  <c:v>Infiltr.</c:v>
                </c:pt>
                <c:pt idx="5">
                  <c:v>Ocup.</c:v>
                </c:pt>
                <c:pt idx="6">
                  <c:v>Ilumin.</c:v>
                </c:pt>
                <c:pt idx="7">
                  <c:v>Equip.</c:v>
                </c:pt>
              </c:strCache>
            </c:strRef>
          </c:cat>
          <c:val>
            <c:numRef>
              <c:f>'Balance enfriamiento'!$B$271:$I$271</c:f>
              <c:numCache>
                <c:formatCode>General</c:formatCode>
                <c:ptCount val="8"/>
              </c:numCache>
            </c:numRef>
          </c:val>
          <c:extLst>
            <c:ext xmlns:c16="http://schemas.microsoft.com/office/drawing/2014/chart" uri="{C3380CC4-5D6E-409C-BE32-E72D297353CC}">
              <c16:uniqueId val="{00000000-26EE-4B7E-8DD0-7D51FC9EFF47}"/>
            </c:ext>
          </c:extLst>
        </c:ser>
        <c:ser>
          <c:idx val="0"/>
          <c:order val="1"/>
          <c:invertIfNegative val="0"/>
          <c:dLbls>
            <c:delete val="1"/>
          </c:dLbls>
          <c:cat>
            <c:strRef>
              <c:f>'Balance enfriamiento'!$B$270:$I$270</c:f>
              <c:strCache>
                <c:ptCount val="8"/>
                <c:pt idx="0">
                  <c:v>Muros</c:v>
                </c:pt>
                <c:pt idx="1">
                  <c:v>Techos</c:v>
                </c:pt>
                <c:pt idx="2">
                  <c:v>Vent. Cond.</c:v>
                </c:pt>
                <c:pt idx="3">
                  <c:v>Vent. Rad.</c:v>
                </c:pt>
                <c:pt idx="4">
                  <c:v>Infiltr.</c:v>
                </c:pt>
                <c:pt idx="5">
                  <c:v>Ocup.</c:v>
                </c:pt>
                <c:pt idx="6">
                  <c:v>Ilumin.</c:v>
                </c:pt>
                <c:pt idx="7">
                  <c:v>Equip.</c:v>
                </c:pt>
              </c:strCache>
            </c:strRef>
          </c:cat>
          <c:val>
            <c:numRef>
              <c:f>'Balance enfriamiento'!$B$272:$I$272</c:f>
              <c:numCache>
                <c:formatCode>0.0</c:formatCode>
                <c:ptCount val="8"/>
                <c:pt idx="0">
                  <c:v>5574.4714999999997</c:v>
                </c:pt>
                <c:pt idx="1">
                  <c:v>6678.45</c:v>
                </c:pt>
                <c:pt idx="2">
                  <c:v>948.51120000000321</c:v>
                </c:pt>
                <c:pt idx="3">
                  <c:v>8068.4496815999992</c:v>
                </c:pt>
                <c:pt idx="4">
                  <c:v>373.29113776500105</c:v>
                </c:pt>
                <c:pt idx="5">
                  <c:v>9700.7760000000017</c:v>
                </c:pt>
                <c:pt idx="6">
                  <c:v>2160</c:v>
                </c:pt>
                <c:pt idx="7">
                  <c:v>10810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6EE-4B7E-8DD0-7D51FC9EFF47}"/>
            </c:ext>
          </c:extLst>
        </c:ser>
        <c:ser>
          <c:idx val="2"/>
          <c:order val="2"/>
          <c:invertIfNegative val="0"/>
          <c:dLbls>
            <c:dLbl>
              <c:idx val="0"/>
              <c:spPr/>
              <c:txPr>
                <a:bodyPr/>
                <a:lstStyle/>
                <a:p>
                  <a:pPr>
                    <a:defRPr sz="1100"/>
                  </a:pPr>
                  <a:endParaRPr lang="es-AR"/>
                </a:p>
              </c:txPr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22BB-4BF6-9B93-DDBE55A7B87E}"/>
                </c:ext>
              </c:extLst>
            </c:dLbl>
            <c:dLbl>
              <c:idx val="1"/>
              <c:spPr/>
              <c:txPr>
                <a:bodyPr/>
                <a:lstStyle/>
                <a:p>
                  <a:pPr>
                    <a:defRPr sz="1100"/>
                  </a:pPr>
                  <a:endParaRPr lang="es-AR"/>
                </a:p>
              </c:txPr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22BB-4BF6-9B93-DDBE55A7B87E}"/>
                </c:ext>
              </c:extLst>
            </c:dLbl>
            <c:dLbl>
              <c:idx val="2"/>
              <c:spPr/>
              <c:txPr>
                <a:bodyPr/>
                <a:lstStyle/>
                <a:p>
                  <a:pPr algn="ctr" rtl="0">
                    <a:defRPr lang="en-US" sz="1100" b="0" i="0" u="none" strike="noStrike" kern="1200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AR"/>
                </a:p>
              </c:txPr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22BB-4BF6-9B93-DDBE55A7B87E}"/>
                </c:ext>
              </c:extLst>
            </c:dLbl>
            <c:dLbl>
              <c:idx val="3"/>
              <c:spPr/>
              <c:txPr>
                <a:bodyPr/>
                <a:lstStyle/>
                <a:p>
                  <a:pPr algn="ctr" rtl="0">
                    <a:defRPr lang="en-US" sz="1100" b="0" i="0" u="none" strike="noStrike" kern="1200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AR"/>
                </a:p>
              </c:txPr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22BB-4BF6-9B93-DDBE55A7B87E}"/>
                </c:ext>
              </c:extLst>
            </c:dLbl>
            <c:dLbl>
              <c:idx val="4"/>
              <c:spPr/>
              <c:txPr>
                <a:bodyPr/>
                <a:lstStyle/>
                <a:p>
                  <a:pPr algn="ctr" rtl="0">
                    <a:defRPr lang="en-US" sz="1100" b="0" i="0" u="none" strike="noStrike" kern="1200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AR"/>
                </a:p>
              </c:txPr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4-22BB-4BF6-9B93-DDBE55A7B87E}"/>
                </c:ext>
              </c:extLst>
            </c:dLbl>
            <c:dLbl>
              <c:idx val="5"/>
              <c:spPr/>
              <c:txPr>
                <a:bodyPr/>
                <a:lstStyle/>
                <a:p>
                  <a:pPr algn="ctr" rtl="0">
                    <a:defRPr lang="en-US" sz="1100" b="0" i="0" u="none" strike="noStrike" kern="1200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AR"/>
                </a:p>
              </c:txPr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22BB-4BF6-9B93-DDBE55A7B87E}"/>
                </c:ext>
              </c:extLst>
            </c:dLbl>
            <c:dLbl>
              <c:idx val="6"/>
              <c:spPr/>
              <c:txPr>
                <a:bodyPr/>
                <a:lstStyle/>
                <a:p>
                  <a:pPr algn="ctr" rtl="0">
                    <a:defRPr lang="en-US" sz="1100" b="0" i="0" u="none" strike="noStrike" kern="1200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AR"/>
                </a:p>
              </c:txPr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6-22BB-4BF6-9B93-DDBE55A7B87E}"/>
                </c:ext>
              </c:extLst>
            </c:dLbl>
            <c:dLbl>
              <c:idx val="7"/>
              <c:spPr/>
              <c:txPr>
                <a:bodyPr/>
                <a:lstStyle/>
                <a:p>
                  <a:pPr algn="ctr" rtl="0">
                    <a:defRPr lang="en-US" sz="1100" b="0" i="0" u="none" strike="noStrike" kern="1200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AR"/>
                </a:p>
              </c:txPr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7-22BB-4BF6-9B93-DDBE55A7B87E}"/>
                </c:ext>
              </c:extLst>
            </c:dLbl>
            <c:spPr>
              <a:noFill/>
              <a:ln>
                <a:noFill/>
              </a:ln>
              <a:effectLst/>
            </c:sp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'Balance enfriamiento'!$B$270:$I$270</c:f>
              <c:strCache>
                <c:ptCount val="8"/>
                <c:pt idx="0">
                  <c:v>Muros</c:v>
                </c:pt>
                <c:pt idx="1">
                  <c:v>Techos</c:v>
                </c:pt>
                <c:pt idx="2">
                  <c:v>Vent. Cond.</c:v>
                </c:pt>
                <c:pt idx="3">
                  <c:v>Vent. Rad.</c:v>
                </c:pt>
                <c:pt idx="4">
                  <c:v>Infiltr.</c:v>
                </c:pt>
                <c:pt idx="5">
                  <c:v>Ocup.</c:v>
                </c:pt>
                <c:pt idx="6">
                  <c:v>Ilumin.</c:v>
                </c:pt>
                <c:pt idx="7">
                  <c:v>Equip.</c:v>
                </c:pt>
              </c:strCache>
            </c:strRef>
          </c:cat>
          <c:val>
            <c:numRef>
              <c:f>'Balance enfriamiento'!$B$273:$I$273</c:f>
              <c:numCache>
                <c:formatCode>0.0%</c:formatCode>
                <c:ptCount val="8"/>
                <c:pt idx="0">
                  <c:v>0.12579495983683378</c:v>
                </c:pt>
                <c:pt idx="1">
                  <c:v>0.15070762304952184</c:v>
                </c:pt>
                <c:pt idx="2">
                  <c:v>2.1404348072958563E-2</c:v>
                </c:pt>
                <c:pt idx="3">
                  <c:v>0.18207471392442964</c:v>
                </c:pt>
                <c:pt idx="4">
                  <c:v>8.4237839735290237E-3</c:v>
                </c:pt>
                <c:pt idx="5">
                  <c:v>0.21891021010801137</c:v>
                </c:pt>
                <c:pt idx="6">
                  <c:v>4.8743116409790774E-2</c:v>
                </c:pt>
                <c:pt idx="7">
                  <c:v>0.24394124462492511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26EE-4B7E-8DD0-7D51FC9EFF4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54309120"/>
        <c:axId val="142751936"/>
      </c:barChart>
      <c:catAx>
        <c:axId val="154309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AR"/>
          </a:p>
        </c:txPr>
        <c:crossAx val="1427519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27519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AR"/>
                  <a:t>Energía [Wh/dia]</a:t>
                </a:r>
              </a:p>
            </c:rich>
          </c:tx>
          <c:layout>
            <c:manualLayout>
              <c:xMode val="edge"/>
              <c:yMode val="edge"/>
              <c:x val="2.4390243902439025E-2"/>
              <c:y val="0.2688895888013998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AR"/>
          </a:p>
        </c:txPr>
        <c:crossAx val="15430912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C0"/>
    </a:solidFill>
    <a:ln w="3175">
      <a:solidFill>
        <a:srgbClr val="000000"/>
      </a:solidFill>
      <a:prstDash val="solid"/>
    </a:ln>
  </c:spPr>
  <c:txPr>
    <a:bodyPr/>
    <a:lstStyle/>
    <a:p>
      <a:pPr>
        <a:defRPr sz="17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AR"/>
    </a:p>
  </c:txPr>
  <c:printSettings>
    <c:headerFooter alignWithMargins="0"/>
    <c:pageMargins b="1" l="0.75" r="0.75" t="1" header="0" footer="0"/>
    <c:pageSetup paperSize="9" orientation="landscape" horizontalDpi="0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AR"/>
              <a:t>Temperatura del aire interior</a:t>
            </a:r>
          </a:p>
        </c:rich>
      </c:tx>
      <c:layout>
        <c:manualLayout>
          <c:xMode val="edge"/>
          <c:yMode val="edge"/>
          <c:x val="0.2494279176201373"/>
          <c:y val="3.64238410596026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645308924485126"/>
          <c:y val="0.15894039735099338"/>
          <c:w val="0.6527073004763293"/>
          <c:h val="0.56146294797262497"/>
        </c:manualLayout>
      </c:layout>
      <c:lineChart>
        <c:grouping val="standard"/>
        <c:varyColors val="0"/>
        <c:ser>
          <c:idx val="0"/>
          <c:order val="0"/>
          <c:tx>
            <c:strRef>
              <c:f>'Masa Térmica'!$G$24</c:f>
              <c:strCache>
                <c:ptCount val="1"/>
                <c:pt idx="0">
                  <c:v>Temp. Ext.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'Masa Térmica'!$F$26:$F$37</c:f>
              <c:numCache>
                <c:formatCode>General</c:formatCode>
                <c:ptCount val="12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</c:numCache>
            </c:numRef>
          </c:cat>
          <c:val>
            <c:numRef>
              <c:f>'Masa Térmica'!$G$26:$G$37</c:f>
              <c:numCache>
                <c:formatCode>0.0</c:formatCode>
                <c:ptCount val="12"/>
                <c:pt idx="0">
                  <c:v>21.975000000000001</c:v>
                </c:pt>
                <c:pt idx="1">
                  <c:v>20.937500000000004</c:v>
                </c:pt>
                <c:pt idx="2">
                  <c:v>19.900000000000002</c:v>
                </c:pt>
                <c:pt idx="3">
                  <c:v>19.200000000000003</c:v>
                </c:pt>
                <c:pt idx="4">
                  <c:v>20.587500000000002</c:v>
                </c:pt>
                <c:pt idx="5">
                  <c:v>26.487500000000004</c:v>
                </c:pt>
                <c:pt idx="6">
                  <c:v>29.962500000000002</c:v>
                </c:pt>
                <c:pt idx="7">
                  <c:v>31.700000000000003</c:v>
                </c:pt>
                <c:pt idx="8">
                  <c:v>30.662500000000001</c:v>
                </c:pt>
                <c:pt idx="9">
                  <c:v>27.875</c:v>
                </c:pt>
                <c:pt idx="10">
                  <c:v>24.750000000000004</c:v>
                </c:pt>
                <c:pt idx="11">
                  <c:v>23.062500000000004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FF-4C63-9D79-85556B52BF29}"/>
            </c:ext>
          </c:extLst>
        </c:ser>
        <c:ser>
          <c:idx val="1"/>
          <c:order val="1"/>
          <c:tx>
            <c:strRef>
              <c:f>'Masa Térmica'!$I$24</c:f>
              <c:strCache>
                <c:ptCount val="1"/>
                <c:pt idx="0">
                  <c:v>Temp. Int.(**)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'Masa Térmica'!$F$26:$F$37</c:f>
              <c:numCache>
                <c:formatCode>General</c:formatCode>
                <c:ptCount val="12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</c:numCache>
            </c:numRef>
          </c:cat>
          <c:val>
            <c:numRef>
              <c:f>'Masa Térmica'!$I$26:$I$37</c:f>
              <c:numCache>
                <c:formatCode>0.0</c:formatCode>
                <c:ptCount val="12"/>
                <c:pt idx="0">
                  <c:v>23.802830284934149</c:v>
                </c:pt>
                <c:pt idx="1">
                  <c:v>22.986181297267667</c:v>
                </c:pt>
                <c:pt idx="2">
                  <c:v>21.951828658017043</c:v>
                </c:pt>
                <c:pt idx="3">
                  <c:v>20.940318828669135</c:v>
                </c:pt>
                <c:pt idx="4">
                  <c:v>20.587500000000002</c:v>
                </c:pt>
                <c:pt idx="5">
                  <c:v>21.051664277254631</c:v>
                </c:pt>
                <c:pt idx="6">
                  <c:v>21.765500378480002</c:v>
                </c:pt>
                <c:pt idx="7">
                  <c:v>22.299964573262972</c:v>
                </c:pt>
                <c:pt idx="8">
                  <c:v>22.79337179688655</c:v>
                </c:pt>
                <c:pt idx="9">
                  <c:v>23.275241845335646</c:v>
                </c:pt>
                <c:pt idx="10">
                  <c:v>23.725783208977106</c:v>
                </c:pt>
                <c:pt idx="11">
                  <c:v>23.996726260249741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FF-4C63-9D79-85556B52BF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149568"/>
        <c:axId val="144877248"/>
      </c:lineChart>
      <c:lineChart>
        <c:grouping val="standard"/>
        <c:varyColors val="0"/>
        <c:ser>
          <c:idx val="2"/>
          <c:order val="2"/>
          <c:tx>
            <c:strRef>
              <c:f>'Masa Térmica'!$H$24</c:f>
              <c:strCache>
                <c:ptCount val="1"/>
                <c:pt idx="0">
                  <c:v>Carga Enf.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val>
            <c:numRef>
              <c:f>'Masa Térmica'!$H$26:$H$37</c:f>
              <c:numCache>
                <c:formatCode>0.0</c:formatCode>
                <c:ptCount val="12"/>
                <c:pt idx="0">
                  <c:v>-5318.6690015537479</c:v>
                </c:pt>
                <c:pt idx="1">
                  <c:v>-7273.4526655843674</c:v>
                </c:pt>
                <c:pt idx="2">
                  <c:v>-9212.4218296149957</c:v>
                </c:pt>
                <c:pt idx="3">
                  <c:v>-9008.9732255199942</c:v>
                </c:pt>
                <c:pt idx="4">
                  <c:v>-5015.6642999368696</c:v>
                </c:pt>
                <c:pt idx="5">
                  <c:v>4134.0612070231255</c:v>
                </c:pt>
                <c:pt idx="6">
                  <c:v>6357.7536636443747</c:v>
                </c:pt>
                <c:pt idx="7">
                  <c:v>4760.184707155001</c:v>
                </c:pt>
                <c:pt idx="8">
                  <c:v>4394.5123793493749</c:v>
                </c:pt>
                <c:pt idx="9">
                  <c:v>4291.7569742812493</c:v>
                </c:pt>
                <c:pt idx="10">
                  <c:v>4012.7292531125004</c:v>
                </c:pt>
                <c:pt idx="11">
                  <c:v>2413.1438209843818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9FF-4C63-9D79-85556B52BF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253568"/>
        <c:axId val="144881280"/>
      </c:lineChart>
      <c:catAx>
        <c:axId val="1751495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AR" sz="1100"/>
                  <a:t>Horas del día</a:t>
                </a:r>
              </a:p>
            </c:rich>
          </c:tx>
          <c:layout>
            <c:manualLayout>
              <c:xMode val="edge"/>
              <c:yMode val="edge"/>
              <c:x val="0.39696445606381719"/>
              <c:y val="0.7913907608395797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AR"/>
          </a:p>
        </c:txPr>
        <c:crossAx val="1448772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48772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s-AR" sz="11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Temperatura °C</a:t>
                </a:r>
              </a:p>
            </c:rich>
          </c:tx>
          <c:layout>
            <c:manualLayout>
              <c:xMode val="edge"/>
              <c:yMode val="edge"/>
              <c:x val="1.6018389858130481E-2"/>
              <c:y val="0.29240840222075049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AR"/>
          </a:p>
        </c:txPr>
        <c:crossAx val="175149568"/>
        <c:crosses val="autoZero"/>
        <c:crossBetween val="between"/>
      </c:valAx>
      <c:catAx>
        <c:axId val="214253568"/>
        <c:scaling>
          <c:orientation val="minMax"/>
        </c:scaling>
        <c:delete val="1"/>
        <c:axPos val="b"/>
        <c:majorTickMark val="out"/>
        <c:minorTickMark val="none"/>
        <c:tickLblPos val="nextTo"/>
        <c:crossAx val="144881280"/>
        <c:crosses val="autoZero"/>
        <c:auto val="1"/>
        <c:lblAlgn val="ctr"/>
        <c:lblOffset val="100"/>
        <c:noMultiLvlLbl val="0"/>
      </c:catAx>
      <c:valAx>
        <c:axId val="144881280"/>
        <c:scaling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AR" sz="1100"/>
                  <a:t>Carga Térmica [Wh/hr]</a:t>
                </a:r>
              </a:p>
            </c:rich>
          </c:tx>
          <c:layout>
            <c:manualLayout>
              <c:xMode val="edge"/>
              <c:yMode val="edge"/>
              <c:x val="0.92871779916399344"/>
              <c:y val="0.19362098429285124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AR"/>
          </a:p>
        </c:txPr>
        <c:crossAx val="214253568"/>
        <c:crosses val="max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6385605041020168"/>
          <c:y val="0.897350894201288"/>
          <c:w val="0.68421052631578949"/>
          <c:h val="8.609271523178807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7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AR"/>
        </a:p>
      </c:txPr>
    </c:legend>
    <c:plotVisOnly val="1"/>
    <c:dispBlanksAs val="gap"/>
    <c:showDLblsOverMax val="0"/>
  </c:chart>
  <c:spPr>
    <a:solidFill>
      <a:srgbClr val="FFFFC0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AR"/>
    </a:p>
  </c:txPr>
  <c:printSettings>
    <c:headerFooter alignWithMargins="0"/>
    <c:pageMargins b="1" l="0.75" r="0.7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s-AR" sz="1400"/>
              <a:t>Pérdidas</a:t>
            </a:r>
            <a:r>
              <a:rPr lang="es-AR" sz="1400" baseline="0"/>
              <a:t> de calor </a:t>
            </a:r>
          </a:p>
          <a:p>
            <a:pPr>
              <a:defRPr sz="1400"/>
            </a:pPr>
            <a:r>
              <a:rPr lang="es-AR" sz="1400" baseline="0"/>
              <a:t>por cada elemento</a:t>
            </a:r>
            <a:endParaRPr lang="es-AR" sz="1400"/>
          </a:p>
        </c:rich>
      </c:tx>
      <c:layout>
        <c:manualLayout>
          <c:xMode val="edge"/>
          <c:yMode val="edge"/>
          <c:x val="0.22602403646912553"/>
          <c:y val="3.1223142899308109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5070866141732286"/>
          <c:y val="0.27506820906645935"/>
          <c:w val="0.59919698328848137"/>
          <c:h val="0.58440199604679044"/>
        </c:manualLayout>
      </c:layout>
      <c:pie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/>
                </a:pPr>
                <a:endParaRPr lang="es-AR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[1]Resumen!$B$20:$B$27</c:f>
              <c:strCache>
                <c:ptCount val="8"/>
                <c:pt idx="0">
                  <c:v>Muro 1</c:v>
                </c:pt>
                <c:pt idx="1">
                  <c:v>Muro 2</c:v>
                </c:pt>
                <c:pt idx="2">
                  <c:v>Techo 1</c:v>
                </c:pt>
                <c:pt idx="3">
                  <c:v>Techo 2</c:v>
                </c:pt>
                <c:pt idx="4">
                  <c:v>Ventanas sur tipo 1</c:v>
                </c:pt>
                <c:pt idx="5">
                  <c:v>Puertas</c:v>
                </c:pt>
                <c:pt idx="6">
                  <c:v>Fundaciones</c:v>
                </c:pt>
                <c:pt idx="7">
                  <c:v>Infiltracion</c:v>
                </c:pt>
              </c:strCache>
            </c:strRef>
          </c:cat>
          <c:val>
            <c:numRef>
              <c:f>[1]Resumen!$C$20:$C$27</c:f>
              <c:numCache>
                <c:formatCode>General</c:formatCode>
                <c:ptCount val="8"/>
                <c:pt idx="0">
                  <c:v>33.538582807508469</c:v>
                </c:pt>
                <c:pt idx="1">
                  <c:v>0</c:v>
                </c:pt>
                <c:pt idx="2">
                  <c:v>16.495303234954292</c:v>
                </c:pt>
                <c:pt idx="3">
                  <c:v>0</c:v>
                </c:pt>
                <c:pt idx="4">
                  <c:v>4.4659346153697399</c:v>
                </c:pt>
                <c:pt idx="5">
                  <c:v>0</c:v>
                </c:pt>
                <c:pt idx="6">
                  <c:v>25.347136774018551</c:v>
                </c:pt>
                <c:pt idx="7">
                  <c:v>20.153042568148933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6A-4ED3-A6D9-F09F8C553FF7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AR" sz="1100"/>
              <a:t>Balance Térmico de Verano</a:t>
            </a:r>
          </a:p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AR" sz="1100"/>
              <a:t>Distribución de las ganancias térmicas diarias</a:t>
            </a:r>
          </a:p>
        </c:rich>
      </c:tx>
      <c:layout>
        <c:manualLayout>
          <c:xMode val="edge"/>
          <c:yMode val="edge"/>
          <c:x val="0.21036585365853658"/>
          <c:y val="3.11111111111111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445121951219512"/>
          <c:y val="0.21555602334206456"/>
          <c:w val="0.79420731707317072"/>
          <c:h val="0.52889003665372536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80206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'Balance enfriamiento'!$B$270:$I$270</c:f>
              <c:strCache>
                <c:ptCount val="8"/>
                <c:pt idx="0">
                  <c:v>Muros</c:v>
                </c:pt>
                <c:pt idx="1">
                  <c:v>Techos</c:v>
                </c:pt>
                <c:pt idx="2">
                  <c:v>Vent. Cond.</c:v>
                </c:pt>
                <c:pt idx="3">
                  <c:v>Vent. Rad.</c:v>
                </c:pt>
                <c:pt idx="4">
                  <c:v>Infiltr.</c:v>
                </c:pt>
                <c:pt idx="5">
                  <c:v>Ocup.</c:v>
                </c:pt>
                <c:pt idx="6">
                  <c:v>Ilumin.</c:v>
                </c:pt>
                <c:pt idx="7">
                  <c:v>Equip.</c:v>
                </c:pt>
              </c:strCache>
            </c:strRef>
          </c:cat>
          <c:val>
            <c:numRef>
              <c:f>'Balance enfriamiento'!$B$271:$I$271</c:f>
              <c:numCache>
                <c:formatCode>General</c:formatCode>
                <c:ptCount val="8"/>
              </c:numCache>
            </c:numRef>
          </c:val>
          <c:extLst>
            <c:ext xmlns:c16="http://schemas.microsoft.com/office/drawing/2014/chart" uri="{C3380CC4-5D6E-409C-BE32-E72D297353CC}">
              <c16:uniqueId val="{00000000-6BFD-481F-896B-4655BAA94267}"/>
            </c:ext>
          </c:extLst>
        </c:ser>
        <c:ser>
          <c:idx val="0"/>
          <c:order val="1"/>
          <c:invertIfNegative val="0"/>
          <c:dLbls>
            <c:delete val="1"/>
          </c:dLbls>
          <c:cat>
            <c:strRef>
              <c:f>'Balance enfriamiento'!$B$270:$I$270</c:f>
              <c:strCache>
                <c:ptCount val="8"/>
                <c:pt idx="0">
                  <c:v>Muros</c:v>
                </c:pt>
                <c:pt idx="1">
                  <c:v>Techos</c:v>
                </c:pt>
                <c:pt idx="2">
                  <c:v>Vent. Cond.</c:v>
                </c:pt>
                <c:pt idx="3">
                  <c:v>Vent. Rad.</c:v>
                </c:pt>
                <c:pt idx="4">
                  <c:v>Infiltr.</c:v>
                </c:pt>
                <c:pt idx="5">
                  <c:v>Ocup.</c:v>
                </c:pt>
                <c:pt idx="6">
                  <c:v>Ilumin.</c:v>
                </c:pt>
                <c:pt idx="7">
                  <c:v>Equip.</c:v>
                </c:pt>
              </c:strCache>
            </c:strRef>
          </c:cat>
          <c:val>
            <c:numRef>
              <c:f>'Balance enfriamiento'!$B$272:$I$272</c:f>
              <c:numCache>
                <c:formatCode>0.0</c:formatCode>
                <c:ptCount val="8"/>
                <c:pt idx="0">
                  <c:v>5574.4714999999997</c:v>
                </c:pt>
                <c:pt idx="1">
                  <c:v>6678.45</c:v>
                </c:pt>
                <c:pt idx="2">
                  <c:v>948.51120000000321</c:v>
                </c:pt>
                <c:pt idx="3">
                  <c:v>8068.4496815999992</c:v>
                </c:pt>
                <c:pt idx="4">
                  <c:v>373.29113776500105</c:v>
                </c:pt>
                <c:pt idx="5">
                  <c:v>9700.7760000000017</c:v>
                </c:pt>
                <c:pt idx="6">
                  <c:v>2160</c:v>
                </c:pt>
                <c:pt idx="7">
                  <c:v>10810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BFD-481F-896B-4655BAA94267}"/>
            </c:ext>
          </c:extLst>
        </c:ser>
        <c:ser>
          <c:idx val="2"/>
          <c:order val="2"/>
          <c:invertIfNegative val="0"/>
          <c:dLbls>
            <c:dLbl>
              <c:idx val="0"/>
              <c:spPr/>
              <c:txPr>
                <a:bodyPr/>
                <a:lstStyle/>
                <a:p>
                  <a:pPr>
                    <a:defRPr sz="900"/>
                  </a:pPr>
                  <a:endParaRPr lang="es-AR"/>
                </a:p>
              </c:txPr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D1F1-4FA0-B29D-428737813558}"/>
                </c:ext>
              </c:extLst>
            </c:dLbl>
            <c:dLbl>
              <c:idx val="1"/>
              <c:spPr/>
              <c:txPr>
                <a:bodyPr/>
                <a:lstStyle/>
                <a:p>
                  <a:pPr>
                    <a:defRPr sz="900"/>
                  </a:pPr>
                  <a:endParaRPr lang="es-AR"/>
                </a:p>
              </c:txPr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D1F1-4FA0-B29D-428737813558}"/>
                </c:ext>
              </c:extLst>
            </c:dLbl>
            <c:dLbl>
              <c:idx val="2"/>
              <c:spPr/>
              <c:txPr>
                <a:bodyPr/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AR"/>
                </a:p>
              </c:txPr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D1F1-4FA0-B29D-428737813558}"/>
                </c:ext>
              </c:extLst>
            </c:dLbl>
            <c:dLbl>
              <c:idx val="3"/>
              <c:spPr/>
              <c:txPr>
                <a:bodyPr/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AR"/>
                </a:p>
              </c:txPr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D1F1-4FA0-B29D-428737813558}"/>
                </c:ext>
              </c:extLst>
            </c:dLbl>
            <c:dLbl>
              <c:idx val="4"/>
              <c:spPr/>
              <c:txPr>
                <a:bodyPr/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AR"/>
                </a:p>
              </c:txPr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4-D1F1-4FA0-B29D-428737813558}"/>
                </c:ext>
              </c:extLst>
            </c:dLbl>
            <c:dLbl>
              <c:idx val="5"/>
              <c:spPr/>
              <c:txPr>
                <a:bodyPr/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AR"/>
                </a:p>
              </c:txPr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D1F1-4FA0-B29D-428737813558}"/>
                </c:ext>
              </c:extLst>
            </c:dLbl>
            <c:dLbl>
              <c:idx val="6"/>
              <c:spPr/>
              <c:txPr>
                <a:bodyPr/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AR"/>
                </a:p>
              </c:txPr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6-D1F1-4FA0-B29D-428737813558}"/>
                </c:ext>
              </c:extLst>
            </c:dLbl>
            <c:dLbl>
              <c:idx val="7"/>
              <c:spPr/>
              <c:txPr>
                <a:bodyPr/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AR"/>
                </a:p>
              </c:txPr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7-D1F1-4FA0-B29D-42873781355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/>
                </a:pPr>
                <a:endParaRPr lang="es-AR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'Balance enfriamiento'!$B$270:$I$270</c:f>
              <c:strCache>
                <c:ptCount val="8"/>
                <c:pt idx="0">
                  <c:v>Muros</c:v>
                </c:pt>
                <c:pt idx="1">
                  <c:v>Techos</c:v>
                </c:pt>
                <c:pt idx="2">
                  <c:v>Vent. Cond.</c:v>
                </c:pt>
                <c:pt idx="3">
                  <c:v>Vent. Rad.</c:v>
                </c:pt>
                <c:pt idx="4">
                  <c:v>Infiltr.</c:v>
                </c:pt>
                <c:pt idx="5">
                  <c:v>Ocup.</c:v>
                </c:pt>
                <c:pt idx="6">
                  <c:v>Ilumin.</c:v>
                </c:pt>
                <c:pt idx="7">
                  <c:v>Equip.</c:v>
                </c:pt>
              </c:strCache>
            </c:strRef>
          </c:cat>
          <c:val>
            <c:numRef>
              <c:f>'Balance enfriamiento'!$B$273:$I$273</c:f>
              <c:numCache>
                <c:formatCode>0.0%</c:formatCode>
                <c:ptCount val="8"/>
                <c:pt idx="0">
                  <c:v>0.12579495983683378</c:v>
                </c:pt>
                <c:pt idx="1">
                  <c:v>0.15070762304952184</c:v>
                </c:pt>
                <c:pt idx="2">
                  <c:v>2.1404348072958563E-2</c:v>
                </c:pt>
                <c:pt idx="3">
                  <c:v>0.18207471392442964</c:v>
                </c:pt>
                <c:pt idx="4">
                  <c:v>8.4237839735290237E-3</c:v>
                </c:pt>
                <c:pt idx="5">
                  <c:v>0.21891021010801137</c:v>
                </c:pt>
                <c:pt idx="6">
                  <c:v>4.8743116409790774E-2</c:v>
                </c:pt>
                <c:pt idx="7">
                  <c:v>0.24394124462492511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6BFD-481F-896B-4655BAA9426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75923456"/>
        <c:axId val="170775040"/>
      </c:barChart>
      <c:catAx>
        <c:axId val="75923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AR"/>
          </a:p>
        </c:txPr>
        <c:crossAx val="1707750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07750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AR" sz="900"/>
                  <a:t>Energía [Wh/dia]</a:t>
                </a:r>
              </a:p>
            </c:rich>
          </c:tx>
          <c:layout>
            <c:manualLayout>
              <c:xMode val="edge"/>
              <c:yMode val="edge"/>
              <c:x val="2.4390243902439025E-2"/>
              <c:y val="0.2688895888013998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AR"/>
          </a:p>
        </c:txPr>
        <c:crossAx val="7592345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C0"/>
    </a:solidFill>
    <a:ln w="3175">
      <a:solidFill>
        <a:srgbClr val="000000"/>
      </a:solidFill>
      <a:prstDash val="solid"/>
    </a:ln>
  </c:spPr>
  <c:txPr>
    <a:bodyPr/>
    <a:lstStyle/>
    <a:p>
      <a:pPr>
        <a:defRPr sz="17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AR"/>
    </a:p>
  </c:txPr>
  <c:printSettings>
    <c:headerFooter alignWithMargins="0"/>
    <c:pageMargins b="1" l="0.75" r="0.75" t="1" header="0" footer="0"/>
    <c:pageSetup paperSize="9" orientation="landscape" horizontalDpi="0" verticalDpi="0"/>
  </c:printSettings>
</c:chartSpace>
</file>

<file path=xl/ctrlProps/ctrlProp1.xml><?xml version="1.0" encoding="utf-8"?>
<formControlPr xmlns="http://schemas.microsoft.com/office/spreadsheetml/2009/9/main" objectType="Drop" dropStyle="combo" dx="16" fmlaLink="$E$84" fmlaRange="$B$65:$B$84" sel="1" val="0"/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emf"/><Relationship Id="rId2" Type="http://schemas.openxmlformats.org/officeDocument/2006/relationships/image" Target="../media/image4.emf"/><Relationship Id="rId1" Type="http://schemas.openxmlformats.org/officeDocument/2006/relationships/chart" Target="../charts/chart1.xml"/><Relationship Id="rId5" Type="http://schemas.openxmlformats.org/officeDocument/2006/relationships/image" Target="../media/image7.emf"/><Relationship Id="rId4" Type="http://schemas.openxmlformats.org/officeDocument/2006/relationships/image" Target="../media/image6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7</xdr:row>
          <xdr:rowOff>19050</xdr:rowOff>
        </xdr:from>
        <xdr:to>
          <xdr:col>1</xdr:col>
          <xdr:colOff>19050</xdr:colOff>
          <xdr:row>8</xdr:row>
          <xdr:rowOff>57150</xdr:rowOff>
        </xdr:to>
        <xdr:sp macro="" textlink="">
          <xdr:nvSpPr>
            <xdr:cNvPr id="5121" name="Drop Down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0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200114</xdr:colOff>
      <xdr:row>56</xdr:row>
      <xdr:rowOff>76200</xdr:rowOff>
    </xdr:from>
    <xdr:to>
      <xdr:col>13</xdr:col>
      <xdr:colOff>76201</xdr:colOff>
      <xdr:row>67</xdr:row>
      <xdr:rowOff>142875</xdr:rowOff>
    </xdr:to>
    <xdr:grpSp>
      <xdr:nvGrpSpPr>
        <xdr:cNvPr id="27" name="26 Grupo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GrpSpPr/>
      </xdr:nvGrpSpPr>
      <xdr:grpSpPr>
        <a:xfrm>
          <a:off x="5772239" y="5819775"/>
          <a:ext cx="2714537" cy="1847850"/>
          <a:chOff x="3905339" y="5657850"/>
          <a:chExt cx="2714537" cy="1847850"/>
        </a:xfrm>
      </xdr:grpSpPr>
      <xdr:grpSp>
        <xdr:nvGrpSpPr>
          <xdr:cNvPr id="26" name="25 Grupo">
            <a:extLst>
              <a:ext uri="{FF2B5EF4-FFF2-40B4-BE49-F238E27FC236}">
                <a16:creationId xmlns:a16="http://schemas.microsoft.com/office/drawing/2014/main" id="{00000000-0008-0000-0100-00001A000000}"/>
              </a:ext>
            </a:extLst>
          </xdr:cNvPr>
          <xdr:cNvGrpSpPr/>
        </xdr:nvGrpSpPr>
        <xdr:grpSpPr>
          <a:xfrm>
            <a:off x="3905339" y="5657850"/>
            <a:ext cx="2714537" cy="1847850"/>
            <a:chOff x="5153114" y="5724525"/>
            <a:chExt cx="2714537" cy="1847850"/>
          </a:xfrm>
        </xdr:grpSpPr>
        <xdr:sp macro="" textlink="">
          <xdr:nvSpPr>
            <xdr:cNvPr id="7" name="6 Forma libre">
              <a:extLst>
                <a:ext uri="{FF2B5EF4-FFF2-40B4-BE49-F238E27FC236}">
                  <a16:creationId xmlns:a16="http://schemas.microsoft.com/office/drawing/2014/main" id="{00000000-0008-0000-0100-000007000000}"/>
                </a:ext>
              </a:extLst>
            </xdr:cNvPr>
            <xdr:cNvSpPr/>
          </xdr:nvSpPr>
          <xdr:spPr>
            <a:xfrm rot="60000">
              <a:off x="5153114" y="6266788"/>
              <a:ext cx="942975" cy="953163"/>
            </a:xfrm>
            <a:custGeom>
              <a:avLst/>
              <a:gdLst>
                <a:gd name="connsiteX0" fmla="*/ 9525 w 942975"/>
                <a:gd name="connsiteY0" fmla="*/ 942975 h 942975"/>
                <a:gd name="connsiteX1" fmla="*/ 0 w 942975"/>
                <a:gd name="connsiteY1" fmla="*/ 438150 h 942975"/>
                <a:gd name="connsiteX2" fmla="*/ 476250 w 942975"/>
                <a:gd name="connsiteY2" fmla="*/ 0 h 942975"/>
                <a:gd name="connsiteX3" fmla="*/ 933450 w 942975"/>
                <a:gd name="connsiteY3" fmla="*/ 428625 h 942975"/>
                <a:gd name="connsiteX4" fmla="*/ 942975 w 942975"/>
                <a:gd name="connsiteY4" fmla="*/ 923925 h 942975"/>
                <a:gd name="connsiteX5" fmla="*/ 9525 w 942975"/>
                <a:gd name="connsiteY5" fmla="*/ 942975 h 942975"/>
                <a:gd name="connsiteX0" fmla="*/ 9525 w 942975"/>
                <a:gd name="connsiteY0" fmla="*/ 933617 h 933617"/>
                <a:gd name="connsiteX1" fmla="*/ 0 w 942975"/>
                <a:gd name="connsiteY1" fmla="*/ 428792 h 933617"/>
                <a:gd name="connsiteX2" fmla="*/ 485940 w 942975"/>
                <a:gd name="connsiteY2" fmla="*/ 0 h 933617"/>
                <a:gd name="connsiteX3" fmla="*/ 933450 w 942975"/>
                <a:gd name="connsiteY3" fmla="*/ 419267 h 933617"/>
                <a:gd name="connsiteX4" fmla="*/ 942975 w 942975"/>
                <a:gd name="connsiteY4" fmla="*/ 914567 h 933617"/>
                <a:gd name="connsiteX5" fmla="*/ 9525 w 942975"/>
                <a:gd name="connsiteY5" fmla="*/ 933617 h 933617"/>
                <a:gd name="connsiteX0" fmla="*/ 9525 w 942975"/>
                <a:gd name="connsiteY0" fmla="*/ 924426 h 924426"/>
                <a:gd name="connsiteX1" fmla="*/ 0 w 942975"/>
                <a:gd name="connsiteY1" fmla="*/ 419601 h 924426"/>
                <a:gd name="connsiteX2" fmla="*/ 505153 w 942975"/>
                <a:gd name="connsiteY2" fmla="*/ 0 h 924426"/>
                <a:gd name="connsiteX3" fmla="*/ 933450 w 942975"/>
                <a:gd name="connsiteY3" fmla="*/ 410076 h 924426"/>
                <a:gd name="connsiteX4" fmla="*/ 942975 w 942975"/>
                <a:gd name="connsiteY4" fmla="*/ 905376 h 924426"/>
                <a:gd name="connsiteX5" fmla="*/ 9525 w 942975"/>
                <a:gd name="connsiteY5" fmla="*/ 924426 h 924426"/>
                <a:gd name="connsiteX0" fmla="*/ 9525 w 942975"/>
                <a:gd name="connsiteY0" fmla="*/ 953163 h 953163"/>
                <a:gd name="connsiteX1" fmla="*/ 0 w 942975"/>
                <a:gd name="connsiteY1" fmla="*/ 448338 h 953163"/>
                <a:gd name="connsiteX2" fmla="*/ 514178 w 942975"/>
                <a:gd name="connsiteY2" fmla="*/ 0 h 953163"/>
                <a:gd name="connsiteX3" fmla="*/ 933450 w 942975"/>
                <a:gd name="connsiteY3" fmla="*/ 438813 h 953163"/>
                <a:gd name="connsiteX4" fmla="*/ 942975 w 942975"/>
                <a:gd name="connsiteY4" fmla="*/ 934113 h 953163"/>
                <a:gd name="connsiteX5" fmla="*/ 9525 w 942975"/>
                <a:gd name="connsiteY5" fmla="*/ 953163 h 953163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</a:cxnLst>
              <a:rect l="l" t="t" r="r" b="b"/>
              <a:pathLst>
                <a:path w="942975" h="953163">
                  <a:moveTo>
                    <a:pt x="9525" y="953163"/>
                  </a:moveTo>
                  <a:lnTo>
                    <a:pt x="0" y="448338"/>
                  </a:lnTo>
                  <a:lnTo>
                    <a:pt x="514178" y="0"/>
                  </a:lnTo>
                  <a:lnTo>
                    <a:pt x="933450" y="438813"/>
                  </a:lnTo>
                  <a:lnTo>
                    <a:pt x="942975" y="934113"/>
                  </a:lnTo>
                  <a:lnTo>
                    <a:pt x="9525" y="953163"/>
                  </a:lnTo>
                  <a:close/>
                </a:path>
              </a:pathLst>
            </a:custGeom>
            <a:solidFill>
              <a:schemeClr val="bg1"/>
            </a:solidFill>
            <a:ln>
              <a:solidFill>
                <a:schemeClr val="tx1"/>
              </a:solidFill>
            </a:ln>
          </xdr:spPr>
          <xdr:txBody>
            <a:bodyPr vertOverflow="clip" horzOverflow="clip" wrap="square" lIns="18288" tIns="0" rIns="0" bIns="0" rtlCol="0" anchor="t" upright="1"/>
            <a:lstStyle/>
            <a:p>
              <a:pPr algn="l"/>
              <a:endParaRPr lang="es-AR" sz="1100"/>
            </a:p>
          </xdr:txBody>
        </xdr:sp>
        <xdr:sp macro="" textlink="">
          <xdr:nvSpPr>
            <xdr:cNvPr id="9" name="8 Forma libre">
              <a:extLst>
                <a:ext uri="{FF2B5EF4-FFF2-40B4-BE49-F238E27FC236}">
                  <a16:creationId xmlns:a16="http://schemas.microsoft.com/office/drawing/2014/main" id="{00000000-0008-0000-0100-000009000000}"/>
                </a:ext>
              </a:extLst>
            </xdr:cNvPr>
            <xdr:cNvSpPr/>
          </xdr:nvSpPr>
          <xdr:spPr>
            <a:xfrm>
              <a:off x="5657849" y="5724525"/>
              <a:ext cx="1438275" cy="1476375"/>
            </a:xfrm>
            <a:custGeom>
              <a:avLst/>
              <a:gdLst>
                <a:gd name="connsiteX0" fmla="*/ 0 w 1314450"/>
                <a:gd name="connsiteY0" fmla="*/ 466725 h 1428750"/>
                <a:gd name="connsiteX1" fmla="*/ 876300 w 1314450"/>
                <a:gd name="connsiteY1" fmla="*/ 0 h 1428750"/>
                <a:gd name="connsiteX2" fmla="*/ 1257300 w 1314450"/>
                <a:gd name="connsiteY2" fmla="*/ 409575 h 1428750"/>
                <a:gd name="connsiteX3" fmla="*/ 1314450 w 1314450"/>
                <a:gd name="connsiteY3" fmla="*/ 914400 h 1428750"/>
                <a:gd name="connsiteX4" fmla="*/ 476250 w 1314450"/>
                <a:gd name="connsiteY4" fmla="*/ 1428750 h 1428750"/>
                <a:gd name="connsiteX0" fmla="*/ 0 w 1314450"/>
                <a:gd name="connsiteY0" fmla="*/ 466725 h 1428750"/>
                <a:gd name="connsiteX1" fmla="*/ 876300 w 1314450"/>
                <a:gd name="connsiteY1" fmla="*/ 0 h 1428750"/>
                <a:gd name="connsiteX2" fmla="*/ 1257300 w 1314450"/>
                <a:gd name="connsiteY2" fmla="*/ 409575 h 1428750"/>
                <a:gd name="connsiteX3" fmla="*/ 1304925 w 1314450"/>
                <a:gd name="connsiteY3" fmla="*/ 447675 h 1428750"/>
                <a:gd name="connsiteX4" fmla="*/ 1314450 w 1314450"/>
                <a:gd name="connsiteY4" fmla="*/ 914400 h 1428750"/>
                <a:gd name="connsiteX5" fmla="*/ 476250 w 1314450"/>
                <a:gd name="connsiteY5" fmla="*/ 1428750 h 1428750"/>
                <a:gd name="connsiteX0" fmla="*/ 0 w 1314450"/>
                <a:gd name="connsiteY0" fmla="*/ 466725 h 1390650"/>
                <a:gd name="connsiteX1" fmla="*/ 876300 w 1314450"/>
                <a:gd name="connsiteY1" fmla="*/ 0 h 1390650"/>
                <a:gd name="connsiteX2" fmla="*/ 1257300 w 1314450"/>
                <a:gd name="connsiteY2" fmla="*/ 409575 h 1390650"/>
                <a:gd name="connsiteX3" fmla="*/ 1304925 w 1314450"/>
                <a:gd name="connsiteY3" fmla="*/ 447675 h 1390650"/>
                <a:gd name="connsiteX4" fmla="*/ 1314450 w 1314450"/>
                <a:gd name="connsiteY4" fmla="*/ 914400 h 1390650"/>
                <a:gd name="connsiteX5" fmla="*/ 466725 w 1314450"/>
                <a:gd name="connsiteY5" fmla="*/ 1390650 h 1390650"/>
                <a:gd name="connsiteX0" fmla="*/ 0 w 1314450"/>
                <a:gd name="connsiteY0" fmla="*/ 466725 h 1476375"/>
                <a:gd name="connsiteX1" fmla="*/ 876300 w 1314450"/>
                <a:gd name="connsiteY1" fmla="*/ 0 h 1476375"/>
                <a:gd name="connsiteX2" fmla="*/ 1257300 w 1314450"/>
                <a:gd name="connsiteY2" fmla="*/ 409575 h 1476375"/>
                <a:gd name="connsiteX3" fmla="*/ 1304925 w 1314450"/>
                <a:gd name="connsiteY3" fmla="*/ 447675 h 1476375"/>
                <a:gd name="connsiteX4" fmla="*/ 1314450 w 1314450"/>
                <a:gd name="connsiteY4" fmla="*/ 914400 h 1476375"/>
                <a:gd name="connsiteX5" fmla="*/ 333375 w 1314450"/>
                <a:gd name="connsiteY5" fmla="*/ 1476375 h 1476375"/>
                <a:gd name="connsiteX0" fmla="*/ 0 w 1314450"/>
                <a:gd name="connsiteY0" fmla="*/ 466725 h 1476375"/>
                <a:gd name="connsiteX1" fmla="*/ 352425 w 1314450"/>
                <a:gd name="connsiteY1" fmla="*/ 285750 h 1476375"/>
                <a:gd name="connsiteX2" fmla="*/ 876300 w 1314450"/>
                <a:gd name="connsiteY2" fmla="*/ 0 h 1476375"/>
                <a:gd name="connsiteX3" fmla="*/ 1257300 w 1314450"/>
                <a:gd name="connsiteY3" fmla="*/ 409575 h 1476375"/>
                <a:gd name="connsiteX4" fmla="*/ 1304925 w 1314450"/>
                <a:gd name="connsiteY4" fmla="*/ 447675 h 1476375"/>
                <a:gd name="connsiteX5" fmla="*/ 1314450 w 1314450"/>
                <a:gd name="connsiteY5" fmla="*/ 914400 h 1476375"/>
                <a:gd name="connsiteX6" fmla="*/ 333375 w 1314450"/>
                <a:gd name="connsiteY6" fmla="*/ 1476375 h 1476375"/>
                <a:gd name="connsiteX0" fmla="*/ 0 w 1028700"/>
                <a:gd name="connsiteY0" fmla="*/ 1009650 h 1476375"/>
                <a:gd name="connsiteX1" fmla="*/ 66675 w 1028700"/>
                <a:gd name="connsiteY1" fmla="*/ 285750 h 1476375"/>
                <a:gd name="connsiteX2" fmla="*/ 590550 w 1028700"/>
                <a:gd name="connsiteY2" fmla="*/ 0 h 1476375"/>
                <a:gd name="connsiteX3" fmla="*/ 971550 w 1028700"/>
                <a:gd name="connsiteY3" fmla="*/ 409575 h 1476375"/>
                <a:gd name="connsiteX4" fmla="*/ 1019175 w 1028700"/>
                <a:gd name="connsiteY4" fmla="*/ 447675 h 1476375"/>
                <a:gd name="connsiteX5" fmla="*/ 1028700 w 1028700"/>
                <a:gd name="connsiteY5" fmla="*/ 914400 h 1476375"/>
                <a:gd name="connsiteX6" fmla="*/ 47625 w 1028700"/>
                <a:gd name="connsiteY6" fmla="*/ 1476375 h 1476375"/>
                <a:gd name="connsiteX0" fmla="*/ 409575 w 1438275"/>
                <a:gd name="connsiteY0" fmla="*/ 1009650 h 1476375"/>
                <a:gd name="connsiteX1" fmla="*/ 0 w 1438275"/>
                <a:gd name="connsiteY1" fmla="*/ 552450 h 1476375"/>
                <a:gd name="connsiteX2" fmla="*/ 1000125 w 1438275"/>
                <a:gd name="connsiteY2" fmla="*/ 0 h 1476375"/>
                <a:gd name="connsiteX3" fmla="*/ 1381125 w 1438275"/>
                <a:gd name="connsiteY3" fmla="*/ 409575 h 1476375"/>
                <a:gd name="connsiteX4" fmla="*/ 1428750 w 1438275"/>
                <a:gd name="connsiteY4" fmla="*/ 447675 h 1476375"/>
                <a:gd name="connsiteX5" fmla="*/ 1438275 w 1438275"/>
                <a:gd name="connsiteY5" fmla="*/ 914400 h 1476375"/>
                <a:gd name="connsiteX6" fmla="*/ 457200 w 1438275"/>
                <a:gd name="connsiteY6" fmla="*/ 1476375 h 1476375"/>
                <a:gd name="connsiteX0" fmla="*/ 438150 w 1438275"/>
                <a:gd name="connsiteY0" fmla="*/ 1000125 h 1476375"/>
                <a:gd name="connsiteX1" fmla="*/ 0 w 1438275"/>
                <a:gd name="connsiteY1" fmla="*/ 552450 h 1476375"/>
                <a:gd name="connsiteX2" fmla="*/ 1000125 w 1438275"/>
                <a:gd name="connsiteY2" fmla="*/ 0 h 1476375"/>
                <a:gd name="connsiteX3" fmla="*/ 1381125 w 1438275"/>
                <a:gd name="connsiteY3" fmla="*/ 409575 h 1476375"/>
                <a:gd name="connsiteX4" fmla="*/ 1428750 w 1438275"/>
                <a:gd name="connsiteY4" fmla="*/ 447675 h 1476375"/>
                <a:gd name="connsiteX5" fmla="*/ 1438275 w 1438275"/>
                <a:gd name="connsiteY5" fmla="*/ 914400 h 1476375"/>
                <a:gd name="connsiteX6" fmla="*/ 457200 w 1438275"/>
                <a:gd name="connsiteY6" fmla="*/ 1476375 h 1476375"/>
                <a:gd name="connsiteX0" fmla="*/ 438150 w 1438275"/>
                <a:gd name="connsiteY0" fmla="*/ 1000125 h 1476375"/>
                <a:gd name="connsiteX1" fmla="*/ 0 w 1438275"/>
                <a:gd name="connsiteY1" fmla="*/ 552450 h 1476375"/>
                <a:gd name="connsiteX2" fmla="*/ 1000125 w 1438275"/>
                <a:gd name="connsiteY2" fmla="*/ 0 h 1476375"/>
                <a:gd name="connsiteX3" fmla="*/ 1428750 w 1438275"/>
                <a:gd name="connsiteY3" fmla="*/ 447675 h 1476375"/>
                <a:gd name="connsiteX4" fmla="*/ 1438275 w 1438275"/>
                <a:gd name="connsiteY4" fmla="*/ 914400 h 1476375"/>
                <a:gd name="connsiteX5" fmla="*/ 457200 w 1438275"/>
                <a:gd name="connsiteY5" fmla="*/ 1476375 h 1476375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</a:cxnLst>
              <a:rect l="l" t="t" r="r" b="b"/>
              <a:pathLst>
                <a:path w="1438275" h="1476375">
                  <a:moveTo>
                    <a:pt x="438150" y="1000125"/>
                  </a:moveTo>
                  <a:lnTo>
                    <a:pt x="0" y="552450"/>
                  </a:lnTo>
                  <a:lnTo>
                    <a:pt x="1000125" y="0"/>
                  </a:lnTo>
                  <a:lnTo>
                    <a:pt x="1428750" y="447675"/>
                  </a:lnTo>
                  <a:lnTo>
                    <a:pt x="1438275" y="914400"/>
                  </a:lnTo>
                  <a:lnTo>
                    <a:pt x="457200" y="1476375"/>
                  </a:lnTo>
                </a:path>
              </a:pathLst>
            </a:custGeom>
            <a:solidFill>
              <a:schemeClr val="bg1"/>
            </a:solidFill>
            <a:ln>
              <a:solidFill>
                <a:schemeClr val="tx1"/>
              </a:solidFill>
            </a:ln>
          </xdr:spPr>
          <xdr:txBody>
            <a:bodyPr vertOverflow="clip" horzOverflow="clip" wrap="square" lIns="18288" tIns="0" rIns="0" bIns="0" rtlCol="0" anchor="t" upright="1"/>
            <a:lstStyle/>
            <a:p>
              <a:pPr algn="l"/>
              <a:endParaRPr lang="es-AR" sz="1100"/>
            </a:p>
          </xdr:txBody>
        </xdr:sp>
        <xdr:cxnSp macro="">
          <xdr:nvCxnSpPr>
            <xdr:cNvPr id="11" name="10 Conector recto">
              <a:extLst>
                <a:ext uri="{FF2B5EF4-FFF2-40B4-BE49-F238E27FC236}">
                  <a16:creationId xmlns:a16="http://schemas.microsoft.com/office/drawing/2014/main" id="{00000000-0008-0000-0100-00000B000000}"/>
                </a:ext>
              </a:extLst>
            </xdr:cNvPr>
            <xdr:cNvCxnSpPr>
              <a:stCxn id="7" idx="3"/>
              <a:endCxn id="9" idx="3"/>
            </xdr:cNvCxnSpPr>
          </xdr:nvCxnSpPr>
          <xdr:spPr bwMode="auto">
            <a:xfrm flipV="1">
              <a:off x="6087153" y="6172200"/>
              <a:ext cx="999446" cy="541469"/>
            </a:xfrm>
            <a:prstGeom prst="line">
              <a:avLst/>
            </a:prstGeom>
            <a:solidFill>
              <a:srgbClr val="FFFFFF"/>
            </a:solidFill>
            <a:ln w="9525" cap="flat" cmpd="sng" algn="ctr">
              <a:solidFill>
                <a:srgbClr val="000000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  <xdr:cxnSp macro="">
          <xdr:nvCxnSpPr>
            <xdr:cNvPr id="16" name="15 Conector recto">
              <a:extLst>
                <a:ext uri="{FF2B5EF4-FFF2-40B4-BE49-F238E27FC236}">
                  <a16:creationId xmlns:a16="http://schemas.microsoft.com/office/drawing/2014/main" id="{00000000-0008-0000-0100-000010000000}"/>
                </a:ext>
              </a:extLst>
            </xdr:cNvPr>
            <xdr:cNvCxnSpPr>
              <a:stCxn id="9" idx="5"/>
            </xdr:cNvCxnSpPr>
          </xdr:nvCxnSpPr>
          <xdr:spPr bwMode="auto">
            <a:xfrm flipV="1">
              <a:off x="6115049" y="7172325"/>
              <a:ext cx="762001" cy="28575"/>
            </a:xfrm>
            <a:prstGeom prst="line">
              <a:avLst/>
            </a:prstGeom>
            <a:solidFill>
              <a:srgbClr val="FFFFFF"/>
            </a:solidFill>
            <a:ln w="9525" cap="flat" cmpd="sng" algn="ctr">
              <a:solidFill>
                <a:srgbClr val="000000"/>
              </a:solidFill>
              <a:prstDash val="dash"/>
              <a:round/>
              <a:headEnd type="none" w="med" len="med"/>
              <a:tailEnd type="none" w="med" len="med"/>
            </a:ln>
            <a:effectLst/>
          </xdr:spPr>
        </xdr:cxnSp>
        <xdr:cxnSp macro="">
          <xdr:nvCxnSpPr>
            <xdr:cNvPr id="18" name="17 Conector recto">
              <a:extLst>
                <a:ext uri="{FF2B5EF4-FFF2-40B4-BE49-F238E27FC236}">
                  <a16:creationId xmlns:a16="http://schemas.microsoft.com/office/drawing/2014/main" id="{00000000-0008-0000-0100-000012000000}"/>
                </a:ext>
              </a:extLst>
            </xdr:cNvPr>
            <xdr:cNvCxnSpPr/>
          </xdr:nvCxnSpPr>
          <xdr:spPr bwMode="auto">
            <a:xfrm flipV="1">
              <a:off x="7105650" y="6619875"/>
              <a:ext cx="762001" cy="28575"/>
            </a:xfrm>
            <a:prstGeom prst="line">
              <a:avLst/>
            </a:prstGeom>
            <a:solidFill>
              <a:srgbClr val="FFFFFF"/>
            </a:solidFill>
            <a:ln w="9525" cap="flat" cmpd="sng" algn="ctr">
              <a:solidFill>
                <a:srgbClr val="000000"/>
              </a:solidFill>
              <a:prstDash val="dash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22" name="21 CuadroTexto">
              <a:extLst>
                <a:ext uri="{FF2B5EF4-FFF2-40B4-BE49-F238E27FC236}">
                  <a16:creationId xmlns:a16="http://schemas.microsoft.com/office/drawing/2014/main" id="{00000000-0008-0000-0100-000016000000}"/>
                </a:ext>
              </a:extLst>
            </xdr:cNvPr>
            <xdr:cNvSpPr txBox="1"/>
          </xdr:nvSpPr>
          <xdr:spPr>
            <a:xfrm>
              <a:off x="7096125" y="6743700"/>
              <a:ext cx="390525" cy="381000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s-AR" sz="1400"/>
                <a:t>L</a:t>
              </a:r>
            </a:p>
          </xdr:txBody>
        </xdr:sp>
        <xdr:sp macro="" textlink="">
          <xdr:nvSpPr>
            <xdr:cNvPr id="23" name="22 CuadroTexto">
              <a:extLst>
                <a:ext uri="{FF2B5EF4-FFF2-40B4-BE49-F238E27FC236}">
                  <a16:creationId xmlns:a16="http://schemas.microsoft.com/office/drawing/2014/main" id="{00000000-0008-0000-0100-000017000000}"/>
                </a:ext>
              </a:extLst>
            </xdr:cNvPr>
            <xdr:cNvSpPr txBox="1"/>
          </xdr:nvSpPr>
          <xdr:spPr>
            <a:xfrm>
              <a:off x="5343526" y="6781800"/>
              <a:ext cx="266700" cy="266700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s-AR" sz="1400"/>
                <a:t>H</a:t>
              </a:r>
            </a:p>
          </xdr:txBody>
        </xdr:sp>
        <xdr:sp macro="" textlink="">
          <xdr:nvSpPr>
            <xdr:cNvPr id="24" name="23 CuadroTexto">
              <a:extLst>
                <a:ext uri="{FF2B5EF4-FFF2-40B4-BE49-F238E27FC236}">
                  <a16:creationId xmlns:a16="http://schemas.microsoft.com/office/drawing/2014/main" id="{00000000-0008-0000-0100-000018000000}"/>
                </a:ext>
              </a:extLst>
            </xdr:cNvPr>
            <xdr:cNvSpPr txBox="1"/>
          </xdr:nvSpPr>
          <xdr:spPr>
            <a:xfrm>
              <a:off x="6038850" y="6781800"/>
              <a:ext cx="390525" cy="381000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s-AR" sz="1400"/>
                <a:t>h</a:t>
              </a:r>
            </a:p>
          </xdr:txBody>
        </xdr:sp>
        <xdr:sp macro="" textlink="">
          <xdr:nvSpPr>
            <xdr:cNvPr id="25" name="24 CuadroTexto">
              <a:extLst>
                <a:ext uri="{FF2B5EF4-FFF2-40B4-BE49-F238E27FC236}">
                  <a16:creationId xmlns:a16="http://schemas.microsoft.com/office/drawing/2014/main" id="{00000000-0008-0000-0100-000019000000}"/>
                </a:ext>
              </a:extLst>
            </xdr:cNvPr>
            <xdr:cNvSpPr txBox="1"/>
          </xdr:nvSpPr>
          <xdr:spPr>
            <a:xfrm>
              <a:off x="5724525" y="7191375"/>
              <a:ext cx="390525" cy="381000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s-AR" sz="1400"/>
                <a:t>d</a:t>
              </a:r>
            </a:p>
          </xdr:txBody>
        </xdr:sp>
      </xdr:grpSp>
      <xdr:cxnSp macro="">
        <xdr:nvCxnSpPr>
          <xdr:cNvPr id="19" name="18 Conector recto">
            <a:extLst>
              <a:ext uri="{FF2B5EF4-FFF2-40B4-BE49-F238E27FC236}">
                <a16:creationId xmlns:a16="http://schemas.microsoft.com/office/drawing/2014/main" id="{00000000-0008-0000-0100-000013000000}"/>
              </a:ext>
            </a:extLst>
          </xdr:cNvPr>
          <xdr:cNvCxnSpPr/>
        </xdr:nvCxnSpPr>
        <xdr:spPr bwMode="auto">
          <a:xfrm flipH="1" flipV="1">
            <a:off x="4419600" y="6191250"/>
            <a:ext cx="19050" cy="933450"/>
          </a:xfrm>
          <a:prstGeom prst="line">
            <a:avLst/>
          </a:prstGeom>
          <a:solidFill>
            <a:srgbClr val="FFFFFF"/>
          </a:solidFill>
          <a:ln w="9525" cap="flat" cmpd="sng" algn="ctr">
            <a:solidFill>
              <a:srgbClr val="000000"/>
            </a:solidFill>
            <a:prstDash val="dash"/>
            <a:round/>
            <a:headEnd type="none" w="med" len="med"/>
            <a:tailEnd type="none" w="med" len="med"/>
          </a:ln>
          <a:effectLst/>
        </xdr:spPr>
      </xdr:cxn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429421</xdr:colOff>
      <xdr:row>27</xdr:row>
      <xdr:rowOff>3158</xdr:rowOff>
    </xdr:from>
    <xdr:to>
      <xdr:col>18</xdr:col>
      <xdr:colOff>495300</xdr:colOff>
      <xdr:row>35</xdr:row>
      <xdr:rowOff>123824</xdr:rowOff>
    </xdr:to>
    <xdr:grpSp>
      <xdr:nvGrpSpPr>
        <xdr:cNvPr id="1129" name="Group 44">
          <a:extLst>
            <a:ext uri="{FF2B5EF4-FFF2-40B4-BE49-F238E27FC236}">
              <a16:creationId xmlns:a16="http://schemas.microsoft.com/office/drawing/2014/main" id="{00000000-0008-0000-0200-000069040000}"/>
            </a:ext>
          </a:extLst>
        </xdr:cNvPr>
        <xdr:cNvGrpSpPr>
          <a:grpSpLocks/>
        </xdr:cNvGrpSpPr>
      </xdr:nvGrpSpPr>
      <xdr:grpSpPr bwMode="auto">
        <a:xfrm>
          <a:off x="9944896" y="4489433"/>
          <a:ext cx="1894679" cy="1416066"/>
          <a:chOff x="295" y="778"/>
          <a:chExt cx="235" cy="190"/>
        </a:xfrm>
      </xdr:grpSpPr>
      <xdr:pic>
        <xdr:nvPicPr>
          <xdr:cNvPr id="1134" name="Picture 17" descr="inv2">
            <a:extLst>
              <a:ext uri="{FF2B5EF4-FFF2-40B4-BE49-F238E27FC236}">
                <a16:creationId xmlns:a16="http://schemas.microsoft.com/office/drawing/2014/main" id="{00000000-0008-0000-0200-00006E04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-778" b="31013"/>
          <a:stretch>
            <a:fillRect/>
          </a:stretch>
        </xdr:blipFill>
        <xdr:spPr bwMode="auto">
          <a:xfrm>
            <a:off x="295" y="778"/>
            <a:ext cx="235" cy="19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1067" name="Text Box 43">
            <a:extLst>
              <a:ext uri="{FF2B5EF4-FFF2-40B4-BE49-F238E27FC236}">
                <a16:creationId xmlns:a16="http://schemas.microsoft.com/office/drawing/2014/main" id="{00000000-0008-0000-0200-00002B04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91" y="945"/>
            <a:ext cx="135" cy="22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0" bIns="0" anchor="t" upright="1"/>
          <a:lstStyle/>
          <a:p>
            <a:pPr algn="ctr" rtl="0">
              <a:defRPr sz="1000"/>
            </a:pPr>
            <a:r>
              <a:rPr lang="es-ES" sz="800" b="0" i="0" strike="noStrike">
                <a:solidFill>
                  <a:srgbClr val="000000"/>
                </a:solidFill>
                <a:latin typeface="Arial"/>
                <a:cs typeface="Arial"/>
              </a:rPr>
              <a:t>Invernadero adosado</a:t>
            </a:r>
          </a:p>
        </xdr:txBody>
      </xdr:sp>
    </xdr:grpSp>
    <xdr:clientData/>
  </xdr:twoCellAnchor>
  <xdr:twoCellAnchor editAs="oneCell">
    <xdr:from>
      <xdr:col>15</xdr:col>
      <xdr:colOff>435882</xdr:colOff>
      <xdr:row>16</xdr:row>
      <xdr:rowOff>87923</xdr:rowOff>
    </xdr:from>
    <xdr:to>
      <xdr:col>18</xdr:col>
      <xdr:colOff>495299</xdr:colOff>
      <xdr:row>23</xdr:row>
      <xdr:rowOff>155332</xdr:rowOff>
    </xdr:to>
    <xdr:pic>
      <xdr:nvPicPr>
        <xdr:cNvPr id="1130" name="Picture 49">
          <a:extLst>
            <a:ext uri="{FF2B5EF4-FFF2-40B4-BE49-F238E27FC236}">
              <a16:creationId xmlns:a16="http://schemas.microsoft.com/office/drawing/2014/main" id="{00000000-0008-0000-0200-00006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38901" y="2696308"/>
          <a:ext cx="1883821" cy="12543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437969</xdr:colOff>
      <xdr:row>6</xdr:row>
      <xdr:rowOff>14653</xdr:rowOff>
    </xdr:from>
    <xdr:to>
      <xdr:col>18</xdr:col>
      <xdr:colOff>476248</xdr:colOff>
      <xdr:row>14</xdr:row>
      <xdr:rowOff>114301</xdr:rowOff>
    </xdr:to>
    <xdr:pic>
      <xdr:nvPicPr>
        <xdr:cNvPr id="1131" name="Picture 50">
          <a:extLst>
            <a:ext uri="{FF2B5EF4-FFF2-40B4-BE49-F238E27FC236}">
              <a16:creationId xmlns:a16="http://schemas.microsoft.com/office/drawing/2014/main" id="{00000000-0008-0000-0200-00006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40988" y="1003788"/>
          <a:ext cx="1862683" cy="13965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139212</xdr:colOff>
      <xdr:row>13</xdr:row>
      <xdr:rowOff>38100</xdr:rowOff>
    </xdr:from>
    <xdr:to>
      <xdr:col>18</xdr:col>
      <xdr:colOff>466725</xdr:colOff>
      <xdr:row>14</xdr:row>
      <xdr:rowOff>14654</xdr:rowOff>
    </xdr:to>
    <xdr:sp macro="" textlink="">
      <xdr:nvSpPr>
        <xdr:cNvPr id="1075" name="Text Box 51">
          <a:extLst>
            <a:ext uri="{FF2B5EF4-FFF2-40B4-BE49-F238E27FC236}">
              <a16:creationId xmlns:a16="http://schemas.microsoft.com/office/drawing/2014/main" id="{00000000-0008-0000-0200-000033040000}"/>
            </a:ext>
          </a:extLst>
        </xdr:cNvPr>
        <xdr:cNvSpPr txBox="1">
          <a:spLocks noChangeArrowheads="1"/>
        </xdr:cNvSpPr>
      </xdr:nvSpPr>
      <xdr:spPr bwMode="auto">
        <a:xfrm>
          <a:off x="10858500" y="2162908"/>
          <a:ext cx="935648" cy="13774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ctr" rtl="0">
            <a:defRPr sz="1000"/>
          </a:pPr>
          <a:r>
            <a:rPr lang="es-ES" sz="800" b="0" i="0" strike="noStrike">
              <a:solidFill>
                <a:srgbClr val="000000"/>
              </a:solidFill>
              <a:latin typeface="Arial"/>
              <a:cs typeface="Arial"/>
            </a:rPr>
            <a:t>Ganancia directa</a:t>
          </a:r>
        </a:p>
        <a:p>
          <a:pPr algn="ctr" rtl="0">
            <a:defRPr sz="1000"/>
          </a:pPr>
          <a:endParaRPr lang="es-ES" sz="8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17</xdr:col>
      <xdr:colOff>102577</xdr:colOff>
      <xdr:row>24</xdr:row>
      <xdr:rowOff>126022</xdr:rowOff>
    </xdr:from>
    <xdr:to>
      <xdr:col>18</xdr:col>
      <xdr:colOff>451338</xdr:colOff>
      <xdr:row>25</xdr:row>
      <xdr:rowOff>117231</xdr:rowOff>
    </xdr:to>
    <xdr:sp macro="" textlink="">
      <xdr:nvSpPr>
        <xdr:cNvPr id="1076" name="Text Box 52">
          <a:extLst>
            <a:ext uri="{FF2B5EF4-FFF2-40B4-BE49-F238E27FC236}">
              <a16:creationId xmlns:a16="http://schemas.microsoft.com/office/drawing/2014/main" id="{00000000-0008-0000-0200-000034040000}"/>
            </a:ext>
          </a:extLst>
        </xdr:cNvPr>
        <xdr:cNvSpPr txBox="1">
          <a:spLocks noChangeArrowheads="1"/>
        </xdr:cNvSpPr>
      </xdr:nvSpPr>
      <xdr:spPr bwMode="auto">
        <a:xfrm>
          <a:off x="10821865" y="3760176"/>
          <a:ext cx="956896" cy="152401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ctr" rtl="0">
            <a:defRPr sz="1000"/>
          </a:pPr>
          <a:r>
            <a:rPr lang="es-ES" sz="800" b="0" i="0" strike="noStrike">
              <a:solidFill>
                <a:srgbClr val="000000"/>
              </a:solidFill>
              <a:latin typeface="Arial"/>
              <a:cs typeface="Arial"/>
            </a:rPr>
            <a:t>Muro acumulador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393699</xdr:colOff>
      <xdr:row>274</xdr:row>
      <xdr:rowOff>9524</xdr:rowOff>
    </xdr:from>
    <xdr:to>
      <xdr:col>9</xdr:col>
      <xdr:colOff>254000</xdr:colOff>
      <xdr:row>297</xdr:row>
      <xdr:rowOff>57150</xdr:rowOff>
    </xdr:to>
    <xdr:graphicFrame macro="">
      <xdr:nvGraphicFramePr>
        <xdr:cNvPr id="4104" name="Chart 1">
          <a:extLst>
            <a:ext uri="{FF2B5EF4-FFF2-40B4-BE49-F238E27FC236}">
              <a16:creationId xmlns:a16="http://schemas.microsoft.com/office/drawing/2014/main" id="{00000000-0008-0000-0500-000008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11</xdr:col>
      <xdr:colOff>57150</xdr:colOff>
      <xdr:row>88</xdr:row>
      <xdr:rowOff>123825</xdr:rowOff>
    </xdr:from>
    <xdr:to>
      <xdr:col>30</xdr:col>
      <xdr:colOff>333375</xdr:colOff>
      <xdr:row>103</xdr:row>
      <xdr:rowOff>0</xdr:rowOff>
    </xdr:to>
    <xdr:pic>
      <xdr:nvPicPr>
        <xdr:cNvPr id="8" name="7 Imagen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0" y="14449425"/>
          <a:ext cx="3438525" cy="2305050"/>
        </a:xfrm>
        <a:prstGeom prst="rect">
          <a:avLst/>
        </a:prstGeom>
        <a:solidFill>
          <a:schemeClr val="bg2">
            <a:lumMod val="75000"/>
          </a:schemeClr>
        </a:solidFill>
      </xdr:spPr>
    </xdr:pic>
    <xdr:clientData/>
  </xdr:twoCellAnchor>
  <xdr:twoCellAnchor editAs="oneCell">
    <xdr:from>
      <xdr:col>7</xdr:col>
      <xdr:colOff>9525</xdr:colOff>
      <xdr:row>139</xdr:row>
      <xdr:rowOff>0</xdr:rowOff>
    </xdr:from>
    <xdr:to>
      <xdr:col>28</xdr:col>
      <xdr:colOff>733425</xdr:colOff>
      <xdr:row>164</xdr:row>
      <xdr:rowOff>104775</xdr:rowOff>
    </xdr:to>
    <xdr:pic>
      <xdr:nvPicPr>
        <xdr:cNvPr id="7" name="6 Imagen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43575" y="22574250"/>
          <a:ext cx="5524500" cy="418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0</xdr:colOff>
      <xdr:row>166</xdr:row>
      <xdr:rowOff>0</xdr:rowOff>
    </xdr:from>
    <xdr:to>
      <xdr:col>31</xdr:col>
      <xdr:colOff>152400</xdr:colOff>
      <xdr:row>190</xdr:row>
      <xdr:rowOff>95250</xdr:rowOff>
    </xdr:to>
    <xdr:pic>
      <xdr:nvPicPr>
        <xdr:cNvPr id="6" name="5 Imagen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5593"/>
        <a:stretch/>
      </xdr:blipFill>
      <xdr:spPr bwMode="auto">
        <a:xfrm>
          <a:off x="9820275" y="14182725"/>
          <a:ext cx="4076700" cy="401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0</xdr:colOff>
      <xdr:row>192</xdr:row>
      <xdr:rowOff>0</xdr:rowOff>
    </xdr:from>
    <xdr:to>
      <xdr:col>30</xdr:col>
      <xdr:colOff>423778</xdr:colOff>
      <xdr:row>239</xdr:row>
      <xdr:rowOff>114300</xdr:rowOff>
    </xdr:to>
    <xdr:pic>
      <xdr:nvPicPr>
        <xdr:cNvPr id="9" name="8 Imagen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20275" y="18430875"/>
          <a:ext cx="3586078" cy="7772400"/>
        </a:xfrm>
        <a:prstGeom prst="rect">
          <a:avLst/>
        </a:prstGeom>
        <a:solidFill>
          <a:schemeClr val="bg1"/>
        </a:solidFill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46</xdr:row>
      <xdr:rowOff>28575</xdr:rowOff>
    </xdr:from>
    <xdr:to>
      <xdr:col>3</xdr:col>
      <xdr:colOff>314325</xdr:colOff>
      <xdr:row>57</xdr:row>
      <xdr:rowOff>104775</xdr:rowOff>
    </xdr:to>
    <xdr:grpSp>
      <xdr:nvGrpSpPr>
        <xdr:cNvPr id="2" name="Group 14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pSpPr>
          <a:grpSpLocks/>
        </xdr:cNvGrpSpPr>
      </xdr:nvGrpSpPr>
      <xdr:grpSpPr bwMode="auto">
        <a:xfrm>
          <a:off x="104775" y="7515225"/>
          <a:ext cx="2733675" cy="1857375"/>
          <a:chOff x="299" y="177"/>
          <a:chExt cx="262" cy="195"/>
        </a:xfrm>
      </xdr:grpSpPr>
      <xdr:sp macro="" textlink="">
        <xdr:nvSpPr>
          <xdr:cNvPr id="3" name="Rectangle 1">
            <a:extLst>
              <a:ext uri="{FF2B5EF4-FFF2-40B4-BE49-F238E27FC236}">
                <a16:creationId xmlns:a16="http://schemas.microsoft.com/office/drawing/2014/main" id="{00000000-0008-0000-0600-000003000000}"/>
              </a:ext>
            </a:extLst>
          </xdr:cNvPr>
          <xdr:cNvSpPr>
            <a:spLocks noChangeArrowheads="1"/>
          </xdr:cNvSpPr>
        </xdr:nvSpPr>
        <xdr:spPr bwMode="auto">
          <a:xfrm>
            <a:off x="371" y="218"/>
            <a:ext cx="114" cy="80"/>
          </a:xfrm>
          <a:prstGeom prst="rect">
            <a:avLst/>
          </a:prstGeom>
          <a:solidFill>
            <a:srgbClr val="E3E3E3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4" name="Text Box 2">
            <a:extLst>
              <a:ext uri="{FF2B5EF4-FFF2-40B4-BE49-F238E27FC236}">
                <a16:creationId xmlns:a16="http://schemas.microsoft.com/office/drawing/2014/main" id="{00000000-0008-0000-0600-000004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99" y="177"/>
            <a:ext cx="207" cy="19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0" bIns="0" anchor="t" upright="1"/>
          <a:lstStyle/>
          <a:p>
            <a:pPr algn="l" rtl="0">
              <a:defRPr sz="1000"/>
            </a:pPr>
            <a:r>
              <a:rPr lang="es-ES" sz="1000" b="0" i="0" strike="noStrike">
                <a:solidFill>
                  <a:srgbClr val="000000"/>
                </a:solidFill>
                <a:latin typeface="Arial"/>
                <a:cs typeface="Arial"/>
              </a:rPr>
              <a:t>vista esquemática</a:t>
            </a:r>
            <a:r>
              <a:rPr lang="es-ES" sz="1000" b="0" i="0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  <a:r>
              <a:rPr lang="es-ES" sz="1000" b="0" i="0" strike="noStrike">
                <a:solidFill>
                  <a:srgbClr val="000000"/>
                </a:solidFill>
                <a:latin typeface="Arial"/>
                <a:cs typeface="Arial"/>
              </a:rPr>
              <a:t>en planta </a:t>
            </a:r>
          </a:p>
        </xdr:txBody>
      </xdr:sp>
      <xdr:sp macro="" textlink="">
        <xdr:nvSpPr>
          <xdr:cNvPr id="5" name="Line 3">
            <a:extLst>
              <a:ext uri="{FF2B5EF4-FFF2-40B4-BE49-F238E27FC236}">
                <a16:creationId xmlns:a16="http://schemas.microsoft.com/office/drawing/2014/main" id="{00000000-0008-0000-0600-000005000000}"/>
              </a:ext>
            </a:extLst>
          </xdr:cNvPr>
          <xdr:cNvSpPr>
            <a:spLocks noChangeShapeType="1"/>
          </xdr:cNvSpPr>
        </xdr:nvSpPr>
        <xdr:spPr bwMode="auto">
          <a:xfrm flipH="1" flipV="1">
            <a:off x="433" y="302"/>
            <a:ext cx="26" cy="4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" name="Text Box 4">
            <a:extLst>
              <a:ext uri="{FF2B5EF4-FFF2-40B4-BE49-F238E27FC236}">
                <a16:creationId xmlns:a16="http://schemas.microsoft.com/office/drawing/2014/main" id="{00000000-0008-0000-0600-000006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61" y="309"/>
            <a:ext cx="100" cy="32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0" bIns="0" anchor="t" upright="1"/>
          <a:lstStyle/>
          <a:p>
            <a:pPr algn="l" rtl="0">
              <a:defRPr sz="1000"/>
            </a:pPr>
            <a:r>
              <a:rPr lang="es-ES" sz="800" b="0" i="0" strike="noStrike">
                <a:solidFill>
                  <a:srgbClr val="000000"/>
                </a:solidFill>
                <a:latin typeface="Arial"/>
                <a:cs typeface="Arial"/>
              </a:rPr>
              <a:t>dirección de viento predominante</a:t>
            </a:r>
          </a:p>
        </xdr:txBody>
      </xdr:sp>
      <xdr:sp macro="" textlink="">
        <xdr:nvSpPr>
          <xdr:cNvPr id="7" name="Text Box 5">
            <a:extLst>
              <a:ext uri="{FF2B5EF4-FFF2-40B4-BE49-F238E27FC236}">
                <a16:creationId xmlns:a16="http://schemas.microsoft.com/office/drawing/2014/main" id="{00000000-0008-0000-0600-000007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47" y="254"/>
            <a:ext cx="16" cy="18"/>
          </a:xfrm>
          <a:prstGeom prst="rect">
            <a:avLst/>
          </a:prstGeom>
          <a:solidFill>
            <a:srgbClr val="FFFF99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0" bIns="0" anchor="t" upright="1"/>
          <a:lstStyle/>
          <a:p>
            <a:pPr algn="l" rtl="0">
              <a:defRPr sz="1000"/>
            </a:pPr>
            <a:r>
              <a:rPr lang="es-ES" sz="1000" b="0" i="0" strike="noStrike">
                <a:solidFill>
                  <a:srgbClr val="000000"/>
                </a:solidFill>
                <a:latin typeface="Arial"/>
                <a:cs typeface="Arial"/>
              </a:rPr>
              <a:t>d</a:t>
            </a:r>
          </a:p>
        </xdr:txBody>
      </xdr:sp>
      <xdr:sp macro="" textlink="">
        <xdr:nvSpPr>
          <xdr:cNvPr id="8" name="Text Box 6">
            <a:extLst>
              <a:ext uri="{FF2B5EF4-FFF2-40B4-BE49-F238E27FC236}">
                <a16:creationId xmlns:a16="http://schemas.microsoft.com/office/drawing/2014/main" id="{00000000-0008-0000-0600-000008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29" y="197"/>
            <a:ext cx="16" cy="16"/>
          </a:xfrm>
          <a:prstGeom prst="rect">
            <a:avLst/>
          </a:prstGeom>
          <a:solidFill>
            <a:srgbClr val="FFFF99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0" bIns="0" anchor="t" upright="1"/>
          <a:lstStyle/>
          <a:p>
            <a:pPr algn="l" rtl="0">
              <a:defRPr sz="1000"/>
            </a:pPr>
            <a:r>
              <a:rPr lang="es-ES" sz="1000" b="0" i="0" strike="noStrike">
                <a:solidFill>
                  <a:srgbClr val="000000"/>
                </a:solidFill>
                <a:latin typeface="Arial"/>
                <a:cs typeface="Arial"/>
              </a:rPr>
              <a:t>c</a:t>
            </a:r>
          </a:p>
        </xdr:txBody>
      </xdr:sp>
      <xdr:sp macro="" textlink="">
        <xdr:nvSpPr>
          <xdr:cNvPr id="9" name="Text Box 7">
            <a:extLst>
              <a:ext uri="{FF2B5EF4-FFF2-40B4-BE49-F238E27FC236}">
                <a16:creationId xmlns:a16="http://schemas.microsoft.com/office/drawing/2014/main" id="{00000000-0008-0000-0600-000009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91" y="256"/>
            <a:ext cx="12" cy="18"/>
          </a:xfrm>
          <a:prstGeom prst="rect">
            <a:avLst/>
          </a:prstGeom>
          <a:solidFill>
            <a:srgbClr val="FFFFC0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0" bIns="0" anchor="t" upright="1"/>
          <a:lstStyle/>
          <a:p>
            <a:pPr algn="l" rtl="0">
              <a:defRPr sz="1000"/>
            </a:pPr>
            <a:r>
              <a:rPr lang="es-ES" sz="1000" b="0" i="0" strike="noStrike">
                <a:solidFill>
                  <a:srgbClr val="000000"/>
                </a:solidFill>
                <a:latin typeface="Arial"/>
                <a:cs typeface="Arial"/>
              </a:rPr>
              <a:t>b</a:t>
            </a:r>
          </a:p>
        </xdr:txBody>
      </xdr:sp>
      <xdr:sp macro="" textlink="">
        <xdr:nvSpPr>
          <xdr:cNvPr id="10" name="Text Box 8">
            <a:extLst>
              <a:ext uri="{FF2B5EF4-FFF2-40B4-BE49-F238E27FC236}">
                <a16:creationId xmlns:a16="http://schemas.microsoft.com/office/drawing/2014/main" id="{00000000-0008-0000-0600-00000A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03" y="307"/>
            <a:ext cx="14" cy="16"/>
          </a:xfrm>
          <a:prstGeom prst="rect">
            <a:avLst/>
          </a:prstGeom>
          <a:solidFill>
            <a:srgbClr val="FFFFC0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0" bIns="0" anchor="t" upright="1"/>
          <a:lstStyle/>
          <a:p>
            <a:pPr algn="l" rtl="0">
              <a:defRPr sz="1000"/>
            </a:pPr>
            <a:r>
              <a:rPr lang="es-ES" sz="1000" b="0" i="0" strike="noStrike">
                <a:solidFill>
                  <a:srgbClr val="000000"/>
                </a:solidFill>
                <a:latin typeface="Arial"/>
                <a:cs typeface="Arial"/>
              </a:rPr>
              <a:t>a</a:t>
            </a:r>
          </a:p>
        </xdr:txBody>
      </xdr:sp>
      <xdr:sp macro="" textlink="">
        <xdr:nvSpPr>
          <xdr:cNvPr id="11" name="Line 9">
            <a:extLst>
              <a:ext uri="{FF2B5EF4-FFF2-40B4-BE49-F238E27FC236}">
                <a16:creationId xmlns:a16="http://schemas.microsoft.com/office/drawing/2014/main" id="{00000000-0008-0000-0600-00000B000000}"/>
              </a:ext>
            </a:extLst>
          </xdr:cNvPr>
          <xdr:cNvSpPr>
            <a:spLocks noChangeShapeType="1"/>
          </xdr:cNvSpPr>
        </xdr:nvSpPr>
        <xdr:spPr bwMode="auto">
          <a:xfrm>
            <a:off x="433" y="300"/>
            <a:ext cx="0" cy="48"/>
          </a:xfrm>
          <a:prstGeom prst="line">
            <a:avLst/>
          </a:prstGeom>
          <a:noFill/>
          <a:ln w="9525">
            <a:solidFill>
              <a:srgbClr val="000000"/>
            </a:solidFill>
            <a:prstDash val="dash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2" name="Text Box 10">
            <a:extLst>
              <a:ext uri="{FF2B5EF4-FFF2-40B4-BE49-F238E27FC236}">
                <a16:creationId xmlns:a16="http://schemas.microsoft.com/office/drawing/2014/main" id="{00000000-0008-0000-0600-00000C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29" y="354"/>
            <a:ext cx="114" cy="18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0" bIns="0" anchor="t" upright="1"/>
          <a:lstStyle/>
          <a:p>
            <a:pPr algn="l" rtl="0">
              <a:defRPr sz="1000"/>
            </a:pPr>
            <a:r>
              <a:rPr lang="es-ES" sz="800" b="0" i="0" strike="noStrike">
                <a:solidFill>
                  <a:srgbClr val="000000"/>
                </a:solidFill>
                <a:latin typeface="Arial"/>
                <a:cs typeface="Arial"/>
              </a:rPr>
              <a:t>Angulo de incidencia </a:t>
            </a:r>
          </a:p>
        </xdr:txBody>
      </xdr:sp>
      <xdr:sp macro="" textlink="">
        <xdr:nvSpPr>
          <xdr:cNvPr id="13" name="Freeform 12">
            <a:extLst>
              <a:ext uri="{FF2B5EF4-FFF2-40B4-BE49-F238E27FC236}">
                <a16:creationId xmlns:a16="http://schemas.microsoft.com/office/drawing/2014/main" id="{00000000-0008-0000-0600-00000D000000}"/>
              </a:ext>
            </a:extLst>
          </xdr:cNvPr>
          <xdr:cNvSpPr>
            <a:spLocks/>
          </xdr:cNvSpPr>
        </xdr:nvSpPr>
        <xdr:spPr bwMode="auto">
          <a:xfrm>
            <a:off x="429" y="324"/>
            <a:ext cx="26" cy="11"/>
          </a:xfrm>
          <a:custGeom>
            <a:avLst/>
            <a:gdLst>
              <a:gd name="T0" fmla="*/ 0 w 26"/>
              <a:gd name="T1" fmla="*/ 6 h 11"/>
              <a:gd name="T2" fmla="*/ 12 w 26"/>
              <a:gd name="T3" fmla="*/ 10 h 11"/>
              <a:gd name="T4" fmla="*/ 26 w 26"/>
              <a:gd name="T5" fmla="*/ 0 h 11"/>
              <a:gd name="T6" fmla="*/ 0 60000 65536"/>
              <a:gd name="T7" fmla="*/ 0 60000 65536"/>
              <a:gd name="T8" fmla="*/ 0 60000 65536"/>
              <a:gd name="T9" fmla="*/ 0 w 26"/>
              <a:gd name="T10" fmla="*/ 0 h 11"/>
              <a:gd name="T11" fmla="*/ 26 w 26"/>
              <a:gd name="T12" fmla="*/ 11 h 11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6" h="11">
                <a:moveTo>
                  <a:pt x="0" y="6"/>
                </a:moveTo>
                <a:cubicBezTo>
                  <a:pt x="4" y="8"/>
                  <a:pt x="8" y="11"/>
                  <a:pt x="12" y="10"/>
                </a:cubicBezTo>
                <a:cubicBezTo>
                  <a:pt x="16" y="9"/>
                  <a:pt x="24" y="2"/>
                  <a:pt x="26" y="0"/>
                </a:cubicBezTo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466725</xdr:colOff>
      <xdr:row>22</xdr:row>
      <xdr:rowOff>133350</xdr:rowOff>
    </xdr:from>
    <xdr:to>
      <xdr:col>15</xdr:col>
      <xdr:colOff>742950</xdr:colOff>
      <xdr:row>42</xdr:row>
      <xdr:rowOff>76200</xdr:rowOff>
    </xdr:to>
    <xdr:graphicFrame macro="">
      <xdr:nvGraphicFramePr>
        <xdr:cNvPr id="7178" name="Chart 1">
          <a:extLst>
            <a:ext uri="{FF2B5EF4-FFF2-40B4-BE49-F238E27FC236}">
              <a16:creationId xmlns:a16="http://schemas.microsoft.com/office/drawing/2014/main" id="{00000000-0008-0000-0700-00000A1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35</xdr:row>
      <xdr:rowOff>28575</xdr:rowOff>
    </xdr:from>
    <xdr:to>
      <xdr:col>3</xdr:col>
      <xdr:colOff>314325</xdr:colOff>
      <xdr:row>46</xdr:row>
      <xdr:rowOff>104775</xdr:rowOff>
    </xdr:to>
    <xdr:grpSp>
      <xdr:nvGrpSpPr>
        <xdr:cNvPr id="14" name="Group 14">
          <a:extLst>
            <a:ext uri="{FF2B5EF4-FFF2-40B4-BE49-F238E27FC236}">
              <a16:creationId xmlns:a16="http://schemas.microsoft.com/office/drawing/2014/main" id="{00000000-0008-0000-0800-00000E000000}"/>
            </a:ext>
          </a:extLst>
        </xdr:cNvPr>
        <xdr:cNvGrpSpPr>
          <a:grpSpLocks/>
        </xdr:cNvGrpSpPr>
      </xdr:nvGrpSpPr>
      <xdr:grpSpPr bwMode="auto">
        <a:xfrm>
          <a:off x="104775" y="5762625"/>
          <a:ext cx="2495550" cy="1857375"/>
          <a:chOff x="299" y="177"/>
          <a:chExt cx="262" cy="195"/>
        </a:xfrm>
      </xdr:grpSpPr>
      <xdr:sp macro="" textlink="">
        <xdr:nvSpPr>
          <xdr:cNvPr id="15" name="Rectangle 1">
            <a:extLst>
              <a:ext uri="{FF2B5EF4-FFF2-40B4-BE49-F238E27FC236}">
                <a16:creationId xmlns:a16="http://schemas.microsoft.com/office/drawing/2014/main" id="{00000000-0008-0000-0800-00000F000000}"/>
              </a:ext>
            </a:extLst>
          </xdr:cNvPr>
          <xdr:cNvSpPr>
            <a:spLocks noChangeArrowheads="1"/>
          </xdr:cNvSpPr>
        </xdr:nvSpPr>
        <xdr:spPr bwMode="auto">
          <a:xfrm>
            <a:off x="371" y="218"/>
            <a:ext cx="114" cy="80"/>
          </a:xfrm>
          <a:prstGeom prst="rect">
            <a:avLst/>
          </a:prstGeom>
          <a:solidFill>
            <a:srgbClr val="E3E3E3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16" name="Text Box 2">
            <a:extLst>
              <a:ext uri="{FF2B5EF4-FFF2-40B4-BE49-F238E27FC236}">
                <a16:creationId xmlns:a16="http://schemas.microsoft.com/office/drawing/2014/main" id="{00000000-0008-0000-0800-000010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99" y="177"/>
            <a:ext cx="207" cy="19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0" bIns="0" anchor="t" upright="1"/>
          <a:lstStyle/>
          <a:p>
            <a:pPr algn="l" rtl="0">
              <a:defRPr sz="1000"/>
            </a:pPr>
            <a:r>
              <a:rPr lang="es-ES" sz="1000" b="0" i="0" strike="noStrike">
                <a:solidFill>
                  <a:srgbClr val="000000"/>
                </a:solidFill>
                <a:latin typeface="Arial"/>
                <a:cs typeface="Arial"/>
              </a:rPr>
              <a:t>vista esquemática</a:t>
            </a:r>
            <a:r>
              <a:rPr lang="es-ES" sz="1000" b="0" i="0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  <a:r>
              <a:rPr lang="es-ES" sz="1000" b="0" i="0" strike="noStrike">
                <a:solidFill>
                  <a:srgbClr val="000000"/>
                </a:solidFill>
                <a:latin typeface="Arial"/>
                <a:cs typeface="Arial"/>
              </a:rPr>
              <a:t>en planta </a:t>
            </a:r>
          </a:p>
        </xdr:txBody>
      </xdr:sp>
      <xdr:sp macro="" textlink="">
        <xdr:nvSpPr>
          <xdr:cNvPr id="17" name="Line 3">
            <a:extLst>
              <a:ext uri="{FF2B5EF4-FFF2-40B4-BE49-F238E27FC236}">
                <a16:creationId xmlns:a16="http://schemas.microsoft.com/office/drawing/2014/main" id="{00000000-0008-0000-0800-000011000000}"/>
              </a:ext>
            </a:extLst>
          </xdr:cNvPr>
          <xdr:cNvSpPr>
            <a:spLocks noChangeShapeType="1"/>
          </xdr:cNvSpPr>
        </xdr:nvSpPr>
        <xdr:spPr bwMode="auto">
          <a:xfrm flipH="1" flipV="1">
            <a:off x="433" y="302"/>
            <a:ext cx="26" cy="4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8" name="Text Box 4">
            <a:extLst>
              <a:ext uri="{FF2B5EF4-FFF2-40B4-BE49-F238E27FC236}">
                <a16:creationId xmlns:a16="http://schemas.microsoft.com/office/drawing/2014/main" id="{00000000-0008-0000-0800-000012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61" y="309"/>
            <a:ext cx="100" cy="32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0" bIns="0" anchor="t" upright="1"/>
          <a:lstStyle/>
          <a:p>
            <a:pPr algn="l" rtl="0">
              <a:defRPr sz="1000"/>
            </a:pPr>
            <a:r>
              <a:rPr lang="es-ES" sz="800" b="0" i="0" strike="noStrike">
                <a:solidFill>
                  <a:srgbClr val="000000"/>
                </a:solidFill>
                <a:latin typeface="Arial"/>
                <a:cs typeface="Arial"/>
              </a:rPr>
              <a:t>dirección de viento predominante</a:t>
            </a:r>
          </a:p>
        </xdr:txBody>
      </xdr:sp>
      <xdr:sp macro="" textlink="">
        <xdr:nvSpPr>
          <xdr:cNvPr id="19" name="Text Box 5">
            <a:extLst>
              <a:ext uri="{FF2B5EF4-FFF2-40B4-BE49-F238E27FC236}">
                <a16:creationId xmlns:a16="http://schemas.microsoft.com/office/drawing/2014/main" id="{00000000-0008-0000-0800-000013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47" y="254"/>
            <a:ext cx="16" cy="18"/>
          </a:xfrm>
          <a:prstGeom prst="rect">
            <a:avLst/>
          </a:prstGeom>
          <a:solidFill>
            <a:srgbClr val="FFFF99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0" bIns="0" anchor="t" upright="1"/>
          <a:lstStyle/>
          <a:p>
            <a:pPr algn="l" rtl="0">
              <a:defRPr sz="1000"/>
            </a:pPr>
            <a:r>
              <a:rPr lang="es-ES" sz="1000" b="0" i="0" strike="noStrike">
                <a:solidFill>
                  <a:srgbClr val="000000"/>
                </a:solidFill>
                <a:latin typeface="Arial"/>
                <a:cs typeface="Arial"/>
              </a:rPr>
              <a:t>d</a:t>
            </a:r>
          </a:p>
        </xdr:txBody>
      </xdr:sp>
      <xdr:sp macro="" textlink="">
        <xdr:nvSpPr>
          <xdr:cNvPr id="20" name="Text Box 6">
            <a:extLst>
              <a:ext uri="{FF2B5EF4-FFF2-40B4-BE49-F238E27FC236}">
                <a16:creationId xmlns:a16="http://schemas.microsoft.com/office/drawing/2014/main" id="{00000000-0008-0000-0800-000014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29" y="197"/>
            <a:ext cx="16" cy="16"/>
          </a:xfrm>
          <a:prstGeom prst="rect">
            <a:avLst/>
          </a:prstGeom>
          <a:solidFill>
            <a:srgbClr val="FFFF99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0" bIns="0" anchor="t" upright="1"/>
          <a:lstStyle/>
          <a:p>
            <a:pPr algn="l" rtl="0">
              <a:defRPr sz="1000"/>
            </a:pPr>
            <a:r>
              <a:rPr lang="es-ES" sz="1000" b="0" i="0" strike="noStrike">
                <a:solidFill>
                  <a:srgbClr val="000000"/>
                </a:solidFill>
                <a:latin typeface="Arial"/>
                <a:cs typeface="Arial"/>
              </a:rPr>
              <a:t>c</a:t>
            </a:r>
          </a:p>
        </xdr:txBody>
      </xdr:sp>
      <xdr:sp macro="" textlink="">
        <xdr:nvSpPr>
          <xdr:cNvPr id="21" name="Text Box 7">
            <a:extLst>
              <a:ext uri="{FF2B5EF4-FFF2-40B4-BE49-F238E27FC236}">
                <a16:creationId xmlns:a16="http://schemas.microsoft.com/office/drawing/2014/main" id="{00000000-0008-0000-0800-000015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91" y="256"/>
            <a:ext cx="12" cy="18"/>
          </a:xfrm>
          <a:prstGeom prst="rect">
            <a:avLst/>
          </a:prstGeom>
          <a:solidFill>
            <a:srgbClr val="FFFFC0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0" bIns="0" anchor="t" upright="1"/>
          <a:lstStyle/>
          <a:p>
            <a:pPr algn="l" rtl="0">
              <a:defRPr sz="1000"/>
            </a:pPr>
            <a:r>
              <a:rPr lang="es-ES" sz="1000" b="0" i="0" strike="noStrike">
                <a:solidFill>
                  <a:srgbClr val="000000"/>
                </a:solidFill>
                <a:latin typeface="Arial"/>
                <a:cs typeface="Arial"/>
              </a:rPr>
              <a:t>b</a:t>
            </a:r>
          </a:p>
        </xdr:txBody>
      </xdr:sp>
      <xdr:sp macro="" textlink="">
        <xdr:nvSpPr>
          <xdr:cNvPr id="22" name="Text Box 8">
            <a:extLst>
              <a:ext uri="{FF2B5EF4-FFF2-40B4-BE49-F238E27FC236}">
                <a16:creationId xmlns:a16="http://schemas.microsoft.com/office/drawing/2014/main" id="{00000000-0008-0000-0800-000016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03" y="307"/>
            <a:ext cx="14" cy="16"/>
          </a:xfrm>
          <a:prstGeom prst="rect">
            <a:avLst/>
          </a:prstGeom>
          <a:solidFill>
            <a:srgbClr val="FFFFC0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0" bIns="0" anchor="t" upright="1"/>
          <a:lstStyle/>
          <a:p>
            <a:pPr algn="l" rtl="0">
              <a:defRPr sz="1000"/>
            </a:pPr>
            <a:r>
              <a:rPr lang="es-ES" sz="1000" b="0" i="0" strike="noStrike">
                <a:solidFill>
                  <a:srgbClr val="000000"/>
                </a:solidFill>
                <a:latin typeface="Arial"/>
                <a:cs typeface="Arial"/>
              </a:rPr>
              <a:t>a</a:t>
            </a:r>
          </a:p>
        </xdr:txBody>
      </xdr:sp>
      <xdr:sp macro="" textlink="">
        <xdr:nvSpPr>
          <xdr:cNvPr id="23" name="Line 9">
            <a:extLst>
              <a:ext uri="{FF2B5EF4-FFF2-40B4-BE49-F238E27FC236}">
                <a16:creationId xmlns:a16="http://schemas.microsoft.com/office/drawing/2014/main" id="{00000000-0008-0000-0800-000017000000}"/>
              </a:ext>
            </a:extLst>
          </xdr:cNvPr>
          <xdr:cNvSpPr>
            <a:spLocks noChangeShapeType="1"/>
          </xdr:cNvSpPr>
        </xdr:nvSpPr>
        <xdr:spPr bwMode="auto">
          <a:xfrm>
            <a:off x="433" y="300"/>
            <a:ext cx="0" cy="48"/>
          </a:xfrm>
          <a:prstGeom prst="line">
            <a:avLst/>
          </a:prstGeom>
          <a:noFill/>
          <a:ln w="9525">
            <a:solidFill>
              <a:srgbClr val="000000"/>
            </a:solidFill>
            <a:prstDash val="dash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4" name="Text Box 10">
            <a:extLst>
              <a:ext uri="{FF2B5EF4-FFF2-40B4-BE49-F238E27FC236}">
                <a16:creationId xmlns:a16="http://schemas.microsoft.com/office/drawing/2014/main" id="{00000000-0008-0000-0800-000018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29" y="354"/>
            <a:ext cx="114" cy="18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0" bIns="0" anchor="t" upright="1"/>
          <a:lstStyle/>
          <a:p>
            <a:pPr algn="l" rtl="0">
              <a:defRPr sz="1000"/>
            </a:pPr>
            <a:r>
              <a:rPr lang="es-ES" sz="800" b="0" i="0" strike="noStrike">
                <a:solidFill>
                  <a:srgbClr val="000000"/>
                </a:solidFill>
                <a:latin typeface="Arial"/>
                <a:cs typeface="Arial"/>
              </a:rPr>
              <a:t>Angulo de incidencia </a:t>
            </a:r>
          </a:p>
        </xdr:txBody>
      </xdr:sp>
      <xdr:sp macro="" textlink="">
        <xdr:nvSpPr>
          <xdr:cNvPr id="25" name="Freeform 12">
            <a:extLst>
              <a:ext uri="{FF2B5EF4-FFF2-40B4-BE49-F238E27FC236}">
                <a16:creationId xmlns:a16="http://schemas.microsoft.com/office/drawing/2014/main" id="{00000000-0008-0000-0800-000019000000}"/>
              </a:ext>
            </a:extLst>
          </xdr:cNvPr>
          <xdr:cNvSpPr>
            <a:spLocks/>
          </xdr:cNvSpPr>
        </xdr:nvSpPr>
        <xdr:spPr bwMode="auto">
          <a:xfrm>
            <a:off x="429" y="324"/>
            <a:ext cx="26" cy="11"/>
          </a:xfrm>
          <a:custGeom>
            <a:avLst/>
            <a:gdLst>
              <a:gd name="T0" fmla="*/ 0 w 26"/>
              <a:gd name="T1" fmla="*/ 6 h 11"/>
              <a:gd name="T2" fmla="*/ 12 w 26"/>
              <a:gd name="T3" fmla="*/ 10 h 11"/>
              <a:gd name="T4" fmla="*/ 26 w 26"/>
              <a:gd name="T5" fmla="*/ 0 h 11"/>
              <a:gd name="T6" fmla="*/ 0 60000 65536"/>
              <a:gd name="T7" fmla="*/ 0 60000 65536"/>
              <a:gd name="T8" fmla="*/ 0 60000 65536"/>
              <a:gd name="T9" fmla="*/ 0 w 26"/>
              <a:gd name="T10" fmla="*/ 0 h 11"/>
              <a:gd name="T11" fmla="*/ 26 w 26"/>
              <a:gd name="T12" fmla="*/ 11 h 11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6" h="11">
                <a:moveTo>
                  <a:pt x="0" y="6"/>
                </a:moveTo>
                <a:cubicBezTo>
                  <a:pt x="4" y="8"/>
                  <a:pt x="8" y="11"/>
                  <a:pt x="12" y="10"/>
                </a:cubicBezTo>
                <a:cubicBezTo>
                  <a:pt x="16" y="9"/>
                  <a:pt x="24" y="2"/>
                  <a:pt x="26" y="0"/>
                </a:cubicBezTo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628650</xdr:colOff>
      <xdr:row>17</xdr:row>
      <xdr:rowOff>28575</xdr:rowOff>
    </xdr:from>
    <xdr:to>
      <xdr:col>7</xdr:col>
      <xdr:colOff>590550</xdr:colOff>
      <xdr:row>36</xdr:row>
      <xdr:rowOff>38100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476250</xdr:colOff>
      <xdr:row>63</xdr:row>
      <xdr:rowOff>28574</xdr:rowOff>
    </xdr:from>
    <xdr:to>
      <xdr:col>7</xdr:col>
      <xdr:colOff>257175</xdr:colOff>
      <xdr:row>77</xdr:row>
      <xdr:rowOff>142875</xdr:rowOff>
    </xdr:to>
    <xdr:graphicFrame macro="">
      <xdr:nvGraphicFramePr>
        <xdr:cNvPr id="3" name="Chart 1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AlfredoE\Desktop\Diplomatura\Dictado-Temas%202\4-13%20Integraci&#243;n%20de%20sistemas%20pasivos%20y%20activos.%20An&#225;lisis%20econ&#243;mico\Programa%20de%20balance%20total\Quinta%20cohorte\Segunda%20cohorte\Balance%20Mendoza%20Norte%20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ugar"/>
      <sheetName val="superficies"/>
      <sheetName val="Balance calefacción"/>
      <sheetName val="K comp"/>
      <sheetName val="mensual"/>
      <sheetName val="Balance enfriamiento"/>
      <sheetName val="Enf. convectivo nocturno"/>
      <sheetName val="Masa Térmica"/>
      <sheetName val="Ventilación natural"/>
      <sheetName val="Acumuación"/>
      <sheetName val="Resumen"/>
    </sheetNames>
    <sheetDataSet>
      <sheetData sheetId="0">
        <row r="17">
          <cell r="D17" t="str">
            <v>Vivienda Perez - Guaymallén, Mendoza</v>
          </cell>
        </row>
      </sheetData>
      <sheetData sheetId="1">
        <row r="24">
          <cell r="B24">
            <v>2.6280292823106151</v>
          </cell>
          <cell r="C24" t="str">
            <v>m²/m²</v>
          </cell>
          <cell r="E24" t="str">
            <v>Factor de Area Envolvente/Piso: ideal entre 1 y 2</v>
          </cell>
        </row>
        <row r="28">
          <cell r="E28" t="str">
            <v xml:space="preserve">Factor de Forma: ideal entre 0,6 y 1,2 </v>
          </cell>
        </row>
      </sheetData>
      <sheetData sheetId="2">
        <row r="4">
          <cell r="B4" t="str">
            <v>Las Heras-Guaymallén</v>
          </cell>
        </row>
      </sheetData>
      <sheetData sheetId="3"/>
      <sheetData sheetId="4"/>
      <sheetData sheetId="5">
        <row r="235">
          <cell r="E235" t="str">
            <v>W</v>
          </cell>
        </row>
        <row r="236">
          <cell r="E236" t="str">
            <v>frig./hora</v>
          </cell>
        </row>
        <row r="237">
          <cell r="E237" t="str">
            <v>Ton.refrig.</v>
          </cell>
        </row>
      </sheetData>
      <sheetData sheetId="6"/>
      <sheetData sheetId="7">
        <row r="20">
          <cell r="G20" t="str">
            <v>Muros</v>
          </cell>
          <cell r="I20" t="str">
            <v>Pisos</v>
          </cell>
        </row>
      </sheetData>
      <sheetData sheetId="8"/>
      <sheetData sheetId="9"/>
      <sheetData sheetId="10">
        <row r="20">
          <cell r="B20" t="str">
            <v>Muro 1</v>
          </cell>
          <cell r="C20">
            <v>33.538582807508469</v>
          </cell>
        </row>
        <row r="21">
          <cell r="B21" t="str">
            <v>Muro 2</v>
          </cell>
          <cell r="C21">
            <v>0</v>
          </cell>
        </row>
        <row r="22">
          <cell r="B22" t="str">
            <v>Techo 1</v>
          </cell>
          <cell r="C22">
            <v>16.495303234954292</v>
          </cell>
        </row>
        <row r="23">
          <cell r="B23" t="str">
            <v>Techo 2</v>
          </cell>
          <cell r="C23">
            <v>0</v>
          </cell>
        </row>
        <row r="24">
          <cell r="B24" t="str">
            <v>Ventanas sur tipo 1</v>
          </cell>
          <cell r="C24">
            <v>4.4659346153697399</v>
          </cell>
        </row>
        <row r="25">
          <cell r="B25" t="str">
            <v>Puertas</v>
          </cell>
          <cell r="C25">
            <v>0</v>
          </cell>
        </row>
        <row r="26">
          <cell r="B26" t="str">
            <v>Fundaciones</v>
          </cell>
          <cell r="C26">
            <v>25.347136774018551</v>
          </cell>
        </row>
        <row r="27">
          <cell r="B27" t="str">
            <v>Infiltracion</v>
          </cell>
          <cell r="C27">
            <v>20.153042568148933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5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K85"/>
  <sheetViews>
    <sheetView tabSelected="1" workbookViewId="0">
      <selection activeCell="C21" sqref="C21"/>
    </sheetView>
  </sheetViews>
  <sheetFormatPr baseColWidth="10" defaultColWidth="9.140625" defaultRowHeight="12.75"/>
  <cols>
    <col min="1" max="1" width="20.5703125" customWidth="1"/>
    <col min="2" max="2" width="19.42578125" customWidth="1"/>
    <col min="3" max="3" width="25.42578125" customWidth="1"/>
    <col min="4" max="4" width="21.28515625" customWidth="1"/>
    <col min="5" max="5" width="12.7109375" customWidth="1"/>
    <col min="6" max="6" width="12.28515625" customWidth="1"/>
    <col min="7" max="7" width="12.5703125" customWidth="1"/>
    <col min="8" max="8" width="10" customWidth="1"/>
    <col min="9" max="9" width="25.7109375" customWidth="1"/>
  </cols>
  <sheetData>
    <row r="1" spans="1:11">
      <c r="A1" s="1" t="s">
        <v>271</v>
      </c>
    </row>
    <row r="2" spans="1:11">
      <c r="A2" s="1" t="s">
        <v>2</v>
      </c>
    </row>
    <row r="6" spans="1:11" ht="19.5" customHeight="1">
      <c r="A6" s="1" t="s">
        <v>272</v>
      </c>
      <c r="C6" s="481" t="s">
        <v>620</v>
      </c>
      <c r="D6" s="482" t="s">
        <v>623</v>
      </c>
      <c r="E6" s="481" t="s">
        <v>427</v>
      </c>
      <c r="F6" s="481" t="s">
        <v>621</v>
      </c>
      <c r="G6" s="481" t="s">
        <v>622</v>
      </c>
    </row>
    <row r="7" spans="1:11">
      <c r="C7" s="484" t="s">
        <v>626</v>
      </c>
      <c r="D7" s="484" t="s">
        <v>626</v>
      </c>
      <c r="E7" s="484" t="s">
        <v>634</v>
      </c>
      <c r="F7" s="484" t="s">
        <v>635</v>
      </c>
      <c r="G7" s="484" t="s">
        <v>636</v>
      </c>
    </row>
    <row r="8" spans="1:11">
      <c r="C8" s="484" t="s">
        <v>627</v>
      </c>
      <c r="D8" s="484" t="s">
        <v>627</v>
      </c>
      <c r="E8" s="484" t="s">
        <v>637</v>
      </c>
      <c r="F8" s="484" t="s">
        <v>638</v>
      </c>
      <c r="G8" s="484" t="s">
        <v>639</v>
      </c>
    </row>
    <row r="9" spans="1:11">
      <c r="C9" s="483" t="s">
        <v>628</v>
      </c>
      <c r="D9" s="483" t="s">
        <v>628</v>
      </c>
      <c r="E9" s="484" t="s">
        <v>640</v>
      </c>
      <c r="F9" s="484" t="s">
        <v>641</v>
      </c>
      <c r="G9" s="484" t="s">
        <v>642</v>
      </c>
    </row>
    <row r="10" spans="1:11">
      <c r="C10" s="484" t="s">
        <v>629</v>
      </c>
      <c r="D10" s="484" t="s">
        <v>629</v>
      </c>
      <c r="E10" s="484" t="s">
        <v>643</v>
      </c>
      <c r="F10" s="484" t="s">
        <v>644</v>
      </c>
      <c r="G10" s="484" t="s">
        <v>645</v>
      </c>
    </row>
    <row r="11" spans="1:11">
      <c r="A11" s="248"/>
      <c r="B11" s="244"/>
      <c r="C11" s="484" t="s">
        <v>630</v>
      </c>
      <c r="D11" s="484" t="s">
        <v>630</v>
      </c>
      <c r="E11" s="484" t="s">
        <v>646</v>
      </c>
      <c r="F11" s="484" t="s">
        <v>647</v>
      </c>
      <c r="G11" s="484" t="s">
        <v>648</v>
      </c>
      <c r="H11" s="244"/>
      <c r="I11" s="244"/>
      <c r="J11" s="244"/>
      <c r="K11" s="244"/>
    </row>
    <row r="12" spans="1:11">
      <c r="C12" s="484" t="s">
        <v>633</v>
      </c>
      <c r="D12" s="484" t="s">
        <v>631</v>
      </c>
      <c r="E12" s="484" t="s">
        <v>649</v>
      </c>
      <c r="F12" s="484" t="s">
        <v>650</v>
      </c>
      <c r="G12" s="483" t="s">
        <v>651</v>
      </c>
    </row>
    <row r="13" spans="1:11">
      <c r="C13" s="484" t="s">
        <v>632</v>
      </c>
      <c r="D13" s="484" t="s">
        <v>632</v>
      </c>
      <c r="E13" s="483" t="s">
        <v>652</v>
      </c>
      <c r="F13" s="484" t="s">
        <v>653</v>
      </c>
      <c r="G13" s="483" t="s">
        <v>654</v>
      </c>
    </row>
    <row r="14" spans="1:11">
      <c r="C14" s="483" t="s">
        <v>656</v>
      </c>
      <c r="D14" s="483" t="s">
        <v>655</v>
      </c>
      <c r="E14" s="496" t="s">
        <v>659</v>
      </c>
      <c r="F14" s="496" t="s">
        <v>657</v>
      </c>
      <c r="G14" s="496" t="s">
        <v>658</v>
      </c>
    </row>
    <row r="16" spans="1:11" ht="13.5" thickBot="1"/>
    <row r="17" spans="1:11">
      <c r="C17" s="584" t="s">
        <v>707</v>
      </c>
      <c r="D17" s="585" t="s">
        <v>708</v>
      </c>
      <c r="E17" s="586"/>
      <c r="F17" s="586"/>
      <c r="G17" s="587"/>
    </row>
    <row r="18" spans="1:11" ht="13.5" thickBot="1">
      <c r="C18" s="589" t="s">
        <v>260</v>
      </c>
      <c r="D18" s="590" t="str">
        <f>+'Balance calefacción'!B4</f>
        <v>Salta</v>
      </c>
      <c r="E18" s="591"/>
      <c r="F18" s="591"/>
      <c r="G18" s="592"/>
    </row>
    <row r="19" spans="1:11" ht="13.5" thickBot="1">
      <c r="C19" s="588" t="s">
        <v>709</v>
      </c>
    </row>
    <row r="25" spans="1:11">
      <c r="A25" s="248"/>
      <c r="B25" s="244"/>
      <c r="C25" s="244"/>
      <c r="D25" s="244"/>
      <c r="E25" s="244"/>
      <c r="F25" s="244"/>
      <c r="G25" s="244"/>
      <c r="H25" s="244"/>
      <c r="I25" s="244"/>
      <c r="J25" s="244"/>
      <c r="K25" s="244"/>
    </row>
    <row r="26" spans="1:11">
      <c r="A26" s="248"/>
      <c r="B26" s="244"/>
      <c r="C26" s="244"/>
      <c r="D26" s="244"/>
      <c r="E26" s="244"/>
      <c r="F26" s="244"/>
      <c r="G26" s="244"/>
      <c r="H26" s="244"/>
      <c r="I26" s="244"/>
      <c r="J26" s="244"/>
      <c r="K26" s="244"/>
    </row>
    <row r="27" spans="1:11">
      <c r="A27" s="248"/>
      <c r="B27" s="244"/>
      <c r="C27" s="244"/>
      <c r="D27" s="244"/>
      <c r="E27" s="244"/>
      <c r="F27" s="244"/>
      <c r="G27" s="244"/>
      <c r="H27" s="244"/>
      <c r="I27" s="244"/>
      <c r="J27" s="244"/>
      <c r="K27" s="244"/>
    </row>
    <row r="28" spans="1:11">
      <c r="A28" s="248"/>
      <c r="B28" s="244"/>
      <c r="C28" s="244"/>
      <c r="D28" s="244"/>
      <c r="E28" s="244"/>
      <c r="F28" s="244"/>
      <c r="G28" s="244"/>
      <c r="H28" s="244"/>
      <c r="I28" s="244"/>
      <c r="J28" s="244"/>
      <c r="K28" s="244"/>
    </row>
    <row r="29" spans="1:11">
      <c r="A29" s="248"/>
      <c r="B29" s="244"/>
      <c r="C29" s="244"/>
      <c r="D29" s="244"/>
      <c r="E29" s="244"/>
      <c r="F29" s="244"/>
      <c r="G29" s="244"/>
      <c r="H29" s="244"/>
      <c r="I29" s="244"/>
      <c r="J29" s="244"/>
      <c r="K29" s="244"/>
    </row>
    <row r="30" spans="1:11">
      <c r="A30" s="248"/>
      <c r="B30" s="244"/>
      <c r="C30" s="244"/>
      <c r="D30" s="244"/>
      <c r="E30" s="244"/>
      <c r="F30" s="244"/>
      <c r="G30" s="244"/>
      <c r="H30" s="244"/>
      <c r="I30" s="244"/>
      <c r="J30" s="244"/>
      <c r="K30" s="244"/>
    </row>
    <row r="31" spans="1:11">
      <c r="A31" s="248"/>
      <c r="B31" s="244"/>
      <c r="C31" s="244"/>
      <c r="D31" s="244"/>
      <c r="E31" s="244"/>
      <c r="F31" s="244"/>
      <c r="G31" s="244"/>
      <c r="H31" s="244"/>
      <c r="I31" s="244"/>
      <c r="J31" s="244"/>
      <c r="K31" s="244"/>
    </row>
    <row r="32" spans="1:11">
      <c r="A32" s="248"/>
      <c r="B32" s="244"/>
      <c r="C32" s="244"/>
      <c r="D32" s="244"/>
      <c r="E32" s="244"/>
      <c r="F32" s="244"/>
      <c r="G32" s="244"/>
      <c r="H32" s="244"/>
      <c r="I32" s="244"/>
      <c r="J32" s="244"/>
      <c r="K32" s="244"/>
    </row>
    <row r="33" spans="1:11">
      <c r="A33" s="248"/>
      <c r="B33" s="244"/>
      <c r="C33" s="244"/>
      <c r="D33" s="244"/>
      <c r="E33" s="244"/>
      <c r="F33" s="244"/>
      <c r="G33" s="244"/>
      <c r="H33" s="244"/>
      <c r="I33" s="244"/>
      <c r="J33" s="244"/>
      <c r="K33" s="244"/>
    </row>
    <row r="34" spans="1:11">
      <c r="A34" s="248"/>
      <c r="B34" s="244"/>
      <c r="C34" s="244"/>
      <c r="D34" s="244"/>
      <c r="E34" s="244"/>
      <c r="F34" s="244"/>
      <c r="G34" s="244"/>
      <c r="H34" s="244"/>
      <c r="I34" s="244"/>
      <c r="J34" s="244"/>
      <c r="K34" s="244"/>
    </row>
    <row r="35" spans="1:11">
      <c r="A35" s="248"/>
      <c r="B35" s="244"/>
      <c r="C35" s="244"/>
      <c r="D35" s="244"/>
      <c r="E35" s="244"/>
      <c r="F35" s="244"/>
      <c r="G35" s="244"/>
      <c r="H35" s="244"/>
      <c r="I35" s="244"/>
      <c r="J35" s="244"/>
      <c r="K35" s="244"/>
    </row>
    <row r="36" spans="1:11">
      <c r="A36" s="248"/>
      <c r="B36" s="244"/>
      <c r="C36" s="244"/>
      <c r="D36" s="244"/>
      <c r="E36" s="244"/>
      <c r="F36" s="244"/>
      <c r="G36" s="244"/>
      <c r="H36" s="244"/>
      <c r="I36" s="244"/>
      <c r="J36" s="244"/>
      <c r="K36" s="244"/>
    </row>
    <row r="37" spans="1:11">
      <c r="A37" s="248"/>
      <c r="B37" s="244"/>
      <c r="C37" s="244"/>
      <c r="D37" s="244"/>
      <c r="E37" s="244"/>
      <c r="F37" s="244"/>
      <c r="G37" s="244"/>
      <c r="H37" s="244"/>
      <c r="I37" s="244"/>
      <c r="J37" s="244"/>
      <c r="K37" s="244"/>
    </row>
    <row r="38" spans="1:11">
      <c r="A38" s="248"/>
      <c r="B38" s="244"/>
      <c r="C38" s="244"/>
      <c r="D38" s="244"/>
      <c r="E38" s="244"/>
      <c r="F38" s="244"/>
      <c r="G38" s="244"/>
      <c r="H38" s="244"/>
      <c r="I38" s="244"/>
      <c r="J38" s="244"/>
      <c r="K38" s="244"/>
    </row>
    <row r="39" spans="1:11">
      <c r="A39" s="244"/>
      <c r="B39" s="244"/>
      <c r="C39" s="244"/>
      <c r="D39" s="244"/>
      <c r="E39" s="244"/>
      <c r="F39" s="244"/>
      <c r="G39" s="244"/>
      <c r="H39" s="244"/>
      <c r="I39" s="244"/>
      <c r="J39" s="244"/>
      <c r="K39" s="244"/>
    </row>
    <row r="40" spans="1:11">
      <c r="A40" s="244"/>
      <c r="B40" s="244"/>
      <c r="C40" s="244"/>
      <c r="D40" s="244"/>
      <c r="E40" s="244"/>
      <c r="F40" s="244"/>
      <c r="G40" s="244"/>
      <c r="H40" s="244"/>
      <c r="I40" s="244"/>
      <c r="J40" s="244"/>
      <c r="K40" s="244"/>
    </row>
    <row r="41" spans="1:11">
      <c r="A41" s="244"/>
      <c r="B41" s="244"/>
      <c r="C41" s="244"/>
      <c r="D41" s="244"/>
      <c r="E41" s="244"/>
      <c r="F41" s="244"/>
      <c r="G41" s="244"/>
      <c r="H41" s="244"/>
      <c r="I41" s="244"/>
      <c r="J41" s="244"/>
      <c r="K41" s="244"/>
    </row>
    <row r="42" spans="1:11">
      <c r="A42" s="244"/>
      <c r="B42" s="244"/>
      <c r="C42" s="244"/>
      <c r="D42" s="244"/>
      <c r="E42" s="244"/>
      <c r="F42" s="244"/>
      <c r="G42" s="244"/>
      <c r="H42" s="244"/>
      <c r="I42" s="244"/>
      <c r="J42" s="244"/>
      <c r="K42" s="244"/>
    </row>
    <row r="43" spans="1:11">
      <c r="A43" s="248"/>
      <c r="B43" s="244"/>
      <c r="C43" s="244"/>
      <c r="D43" s="244"/>
      <c r="E43" s="244"/>
      <c r="F43" s="244"/>
      <c r="G43" s="244"/>
      <c r="H43" s="244"/>
      <c r="I43" s="244"/>
      <c r="J43" s="244"/>
      <c r="K43" s="244"/>
    </row>
    <row r="44" spans="1:11">
      <c r="A44" s="248"/>
      <c r="B44" s="244"/>
      <c r="C44" s="244"/>
      <c r="D44" s="244"/>
      <c r="E44" s="244"/>
      <c r="F44" s="244"/>
      <c r="G44" s="244"/>
      <c r="H44" s="244"/>
      <c r="I44" s="244"/>
      <c r="J44" s="244"/>
      <c r="K44" s="244"/>
    </row>
    <row r="45" spans="1:11">
      <c r="A45" s="248"/>
      <c r="B45" s="244"/>
      <c r="C45" s="244"/>
      <c r="D45" s="244"/>
      <c r="E45" s="244"/>
      <c r="F45" s="244"/>
      <c r="G45" s="244"/>
      <c r="H45" s="244"/>
      <c r="I45" s="244"/>
      <c r="J45" s="244"/>
      <c r="K45" s="244"/>
    </row>
    <row r="46" spans="1:11">
      <c r="A46" s="248"/>
      <c r="B46" s="244"/>
      <c r="C46" s="244"/>
      <c r="D46" s="244"/>
      <c r="E46" s="244"/>
      <c r="F46" s="244"/>
      <c r="G46" s="244"/>
      <c r="H46" s="244"/>
      <c r="I46" s="244"/>
      <c r="J46" s="244"/>
      <c r="K46" s="244"/>
    </row>
    <row r="47" spans="1:11">
      <c r="A47" s="244"/>
      <c r="B47" s="244"/>
      <c r="C47" s="244"/>
      <c r="D47" s="244"/>
      <c r="E47" s="244"/>
      <c r="F47" s="244"/>
      <c r="G47" s="244"/>
      <c r="H47" s="244"/>
      <c r="I47" s="244"/>
      <c r="J47" s="244"/>
      <c r="K47" s="244"/>
    </row>
    <row r="48" spans="1:11">
      <c r="A48" s="244"/>
      <c r="B48" s="244"/>
      <c r="C48" s="244"/>
      <c r="D48" s="244"/>
      <c r="E48" s="244"/>
      <c r="F48" s="244"/>
      <c r="G48" s="244"/>
      <c r="H48" s="244"/>
      <c r="I48" s="244"/>
      <c r="J48" s="244"/>
      <c r="K48" s="244"/>
    </row>
    <row r="49" spans="1:11">
      <c r="A49" s="244"/>
      <c r="B49" s="244"/>
      <c r="C49" s="244"/>
      <c r="D49" s="244"/>
      <c r="E49" s="244"/>
      <c r="F49" s="244"/>
      <c r="G49" s="244"/>
      <c r="H49" s="244"/>
      <c r="I49" s="244"/>
      <c r="J49" s="244"/>
      <c r="K49" s="244"/>
    </row>
    <row r="50" spans="1:11">
      <c r="A50" s="244"/>
      <c r="B50" s="244"/>
      <c r="C50" s="244"/>
      <c r="D50" s="244"/>
      <c r="E50" s="244"/>
      <c r="F50" s="244"/>
      <c r="G50" s="244"/>
      <c r="H50" s="244"/>
      <c r="I50" s="244"/>
      <c r="J50" s="244"/>
      <c r="K50" s="244"/>
    </row>
    <row r="51" spans="1:11">
      <c r="A51" s="244"/>
      <c r="B51" s="244"/>
      <c r="C51" s="244"/>
      <c r="D51" s="244"/>
      <c r="E51" s="244"/>
      <c r="F51" s="244"/>
      <c r="G51" s="244"/>
      <c r="H51" s="244"/>
      <c r="I51" s="244"/>
      <c r="J51" s="244"/>
      <c r="K51" s="244"/>
    </row>
    <row r="52" spans="1:11">
      <c r="A52" s="244"/>
      <c r="B52" s="244"/>
      <c r="C52" s="244"/>
      <c r="D52" s="244"/>
      <c r="E52" s="244"/>
      <c r="F52" s="244"/>
      <c r="G52" s="244"/>
      <c r="H52" s="244"/>
      <c r="I52" s="244"/>
      <c r="J52" s="244"/>
      <c r="K52" s="244"/>
    </row>
    <row r="62" spans="1:11" ht="13.5" thickBot="1"/>
    <row r="63" spans="1:11">
      <c r="B63" s="5" t="s">
        <v>86</v>
      </c>
      <c r="C63" s="489" t="s">
        <v>87</v>
      </c>
      <c r="D63" s="487" t="s">
        <v>336</v>
      </c>
      <c r="E63" s="487" t="s">
        <v>427</v>
      </c>
      <c r="F63" s="485" t="s">
        <v>428</v>
      </c>
      <c r="G63" s="278" t="s">
        <v>471</v>
      </c>
      <c r="H63" s="137"/>
    </row>
    <row r="64" spans="1:11" ht="13.5" thickBot="1">
      <c r="B64" s="138"/>
      <c r="C64" s="490" t="s">
        <v>88</v>
      </c>
      <c r="D64" s="488" t="s">
        <v>337</v>
      </c>
      <c r="E64" s="488" t="s">
        <v>429</v>
      </c>
      <c r="F64" s="486" t="s">
        <v>341</v>
      </c>
      <c r="G64" s="279" t="s">
        <v>472</v>
      </c>
      <c r="H64" s="491"/>
    </row>
    <row r="65" spans="1:9">
      <c r="A65" s="178">
        <v>1</v>
      </c>
      <c r="B65" s="178" t="s">
        <v>626</v>
      </c>
      <c r="C65" s="498">
        <v>1120.5999999999999</v>
      </c>
      <c r="D65" s="498">
        <v>9</v>
      </c>
      <c r="E65" s="498">
        <v>-24.47</v>
      </c>
      <c r="F65" s="498">
        <v>1221</v>
      </c>
      <c r="G65" s="498">
        <v>45</v>
      </c>
      <c r="H65" s="498" t="s">
        <v>189</v>
      </c>
      <c r="I65" s="178"/>
    </row>
    <row r="66" spans="1:9">
      <c r="A66" s="178">
        <f t="shared" ref="A66:A72" si="0">+A65+1</f>
        <v>2</v>
      </c>
      <c r="B66" s="178" t="s">
        <v>627</v>
      </c>
      <c r="C66" s="498">
        <v>1047.4000000000001</v>
      </c>
      <c r="D66" s="498">
        <v>4.5</v>
      </c>
      <c r="E66" s="498">
        <v>-24.1</v>
      </c>
      <c r="F66" s="498">
        <v>1302</v>
      </c>
      <c r="G66" s="498">
        <v>45</v>
      </c>
      <c r="H66" s="498" t="s">
        <v>195</v>
      </c>
      <c r="I66" s="178"/>
    </row>
    <row r="67" spans="1:9">
      <c r="A67" s="178">
        <f t="shared" si="0"/>
        <v>3</v>
      </c>
      <c r="B67" s="178" t="s">
        <v>628</v>
      </c>
      <c r="C67" s="498">
        <v>3138.3</v>
      </c>
      <c r="D67" s="498">
        <v>10</v>
      </c>
      <c r="E67" s="498">
        <v>-22.06</v>
      </c>
      <c r="F67" s="498">
        <v>3459</v>
      </c>
      <c r="G67" s="498">
        <v>45</v>
      </c>
      <c r="H67" s="498" t="s">
        <v>189</v>
      </c>
      <c r="I67" s="178"/>
    </row>
    <row r="68" spans="1:9">
      <c r="A68" s="178">
        <f t="shared" si="0"/>
        <v>4</v>
      </c>
      <c r="B68" s="178" t="s">
        <v>629</v>
      </c>
      <c r="C68" s="498">
        <v>759.8</v>
      </c>
      <c r="D68" s="498">
        <v>13</v>
      </c>
      <c r="E68" s="498">
        <v>-27.46</v>
      </c>
      <c r="F68" s="498">
        <v>199</v>
      </c>
      <c r="G68" s="498">
        <v>45</v>
      </c>
      <c r="H68" s="498" t="s">
        <v>189</v>
      </c>
      <c r="I68" s="178"/>
    </row>
    <row r="69" spans="1:9">
      <c r="A69" s="178">
        <f t="shared" si="0"/>
        <v>5</v>
      </c>
      <c r="B69" s="178" t="s">
        <v>630</v>
      </c>
      <c r="C69" s="498">
        <v>376.3</v>
      </c>
      <c r="D69" s="498">
        <v>15</v>
      </c>
      <c r="E69" s="498">
        <v>-22.39</v>
      </c>
      <c r="F69" s="498">
        <v>450</v>
      </c>
      <c r="G69" s="498">
        <v>0</v>
      </c>
      <c r="H69" s="498" t="s">
        <v>195</v>
      </c>
      <c r="I69" s="178"/>
    </row>
    <row r="70" spans="1:9">
      <c r="A70" s="178">
        <f t="shared" si="0"/>
        <v>6</v>
      </c>
      <c r="B70" s="178" t="s">
        <v>631</v>
      </c>
      <c r="C70" s="498">
        <v>1018</v>
      </c>
      <c r="D70" s="498">
        <v>15</v>
      </c>
      <c r="E70" s="498">
        <v>-28.06</v>
      </c>
      <c r="F70" s="498">
        <v>1201</v>
      </c>
      <c r="G70" s="498">
        <v>45</v>
      </c>
      <c r="H70" s="498" t="s">
        <v>195</v>
      </c>
      <c r="I70" s="178"/>
    </row>
    <row r="71" spans="1:9">
      <c r="A71" s="178">
        <f t="shared" si="0"/>
        <v>7</v>
      </c>
      <c r="B71" s="178" t="s">
        <v>632</v>
      </c>
      <c r="C71" s="498">
        <v>630</v>
      </c>
      <c r="D71" s="498">
        <v>20</v>
      </c>
      <c r="E71" s="498">
        <v>-28.36</v>
      </c>
      <c r="F71" s="498">
        <v>454</v>
      </c>
      <c r="G71" s="498">
        <v>45</v>
      </c>
      <c r="H71" s="498" t="s">
        <v>189</v>
      </c>
      <c r="I71" s="178"/>
    </row>
    <row r="72" spans="1:9">
      <c r="A72" s="178">
        <f t="shared" si="0"/>
        <v>8</v>
      </c>
      <c r="B72" s="178" t="s">
        <v>655</v>
      </c>
      <c r="C72" s="498">
        <v>710</v>
      </c>
      <c r="D72" s="498">
        <v>11</v>
      </c>
      <c r="E72" s="498">
        <v>-28.47</v>
      </c>
      <c r="F72" s="498">
        <v>400</v>
      </c>
      <c r="G72" s="498">
        <v>0</v>
      </c>
      <c r="H72" s="498" t="s">
        <v>191</v>
      </c>
      <c r="I72" s="178"/>
    </row>
    <row r="73" spans="1:9">
      <c r="A73" s="245"/>
      <c r="B73" s="246"/>
      <c r="C73" s="247"/>
      <c r="D73" s="245"/>
    </row>
    <row r="74" spans="1:9">
      <c r="A74" s="245"/>
      <c r="B74" s="246"/>
      <c r="C74" s="247"/>
      <c r="D74" s="245"/>
    </row>
    <row r="75" spans="1:9">
      <c r="A75" s="245"/>
      <c r="B75" s="246"/>
      <c r="C75" s="247"/>
      <c r="D75" s="245"/>
    </row>
    <row r="76" spans="1:9">
      <c r="A76" s="245"/>
      <c r="B76" s="246"/>
      <c r="C76" s="247"/>
      <c r="D76" s="245"/>
    </row>
    <row r="77" spans="1:9">
      <c r="A77" s="245"/>
      <c r="B77" s="246"/>
      <c r="C77" s="247"/>
      <c r="D77" s="245"/>
    </row>
    <row r="78" spans="1:9">
      <c r="A78" s="245"/>
      <c r="B78" s="246"/>
      <c r="C78" s="247"/>
      <c r="D78" s="245"/>
    </row>
    <row r="79" spans="1:9">
      <c r="A79" s="245"/>
      <c r="B79" s="246"/>
      <c r="C79" s="247"/>
      <c r="D79" s="245"/>
    </row>
    <row r="80" spans="1:9">
      <c r="A80" s="245"/>
      <c r="B80" s="246"/>
      <c r="C80" s="247"/>
      <c r="D80" s="245"/>
    </row>
    <row r="81" spans="1:5">
      <c r="A81" s="245"/>
      <c r="B81" s="246"/>
      <c r="C81" s="247"/>
      <c r="D81" s="245"/>
    </row>
    <row r="82" spans="1:5">
      <c r="A82" s="245"/>
      <c r="B82" s="246"/>
      <c r="C82" s="247"/>
      <c r="D82" s="245"/>
    </row>
    <row r="83" spans="1:5">
      <c r="A83" s="245"/>
      <c r="B83" s="246"/>
      <c r="C83" s="247"/>
      <c r="D83" s="245"/>
    </row>
    <row r="84" spans="1:5">
      <c r="A84" s="245"/>
      <c r="B84" s="246"/>
      <c r="C84" s="247"/>
      <c r="D84" s="245"/>
      <c r="E84">
        <v>1</v>
      </c>
    </row>
    <row r="85" spans="1:5">
      <c r="A85" s="245"/>
      <c r="B85" s="245"/>
      <c r="C85" s="245"/>
      <c r="D85" s="245"/>
    </row>
  </sheetData>
  <phoneticPr fontId="14" type="noConversion"/>
  <pageMargins left="0.75" right="0.75" top="1" bottom="1" header="0" footer="0"/>
  <pageSetup paperSize="9" orientation="portrait" horizontalDpi="300" verticalDpi="3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Drop Down 1">
              <controlPr defaultSize="0" autoLine="0" autoPict="0">
                <anchor moveWithCells="1">
                  <from>
                    <xdr:col>0</xdr:col>
                    <xdr:colOff>19050</xdr:colOff>
                    <xdr:row>7</xdr:row>
                    <xdr:rowOff>19050</xdr:rowOff>
                  </from>
                  <to>
                    <xdr:col>1</xdr:col>
                    <xdr:colOff>19050</xdr:colOff>
                    <xdr:row>8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0"/>
  <dimension ref="A1:G26"/>
  <sheetViews>
    <sheetView workbookViewId="0">
      <selection activeCell="E7" sqref="E7"/>
    </sheetView>
  </sheetViews>
  <sheetFormatPr baseColWidth="10" defaultRowHeight="12.75"/>
  <cols>
    <col min="2" max="2" width="12.28515625" bestFit="1" customWidth="1"/>
  </cols>
  <sheetData>
    <row r="1" spans="1:7">
      <c r="A1" s="114"/>
      <c r="B1" s="116" t="s">
        <v>288</v>
      </c>
      <c r="C1" s="28"/>
      <c r="D1" s="42" t="s">
        <v>287</v>
      </c>
      <c r="E1" s="115"/>
    </row>
    <row r="2" spans="1:7" ht="13.5" thickBot="1">
      <c r="A2" s="117" t="s">
        <v>76</v>
      </c>
      <c r="B2" s="120" t="s">
        <v>289</v>
      </c>
      <c r="C2" s="121" t="s">
        <v>290</v>
      </c>
      <c r="D2" s="118" t="s">
        <v>289</v>
      </c>
      <c r="E2" s="119" t="s">
        <v>290</v>
      </c>
    </row>
    <row r="3" spans="1:7">
      <c r="A3" s="122">
        <v>0.1</v>
      </c>
      <c r="B3" s="11">
        <v>140</v>
      </c>
      <c r="C3" s="19">
        <v>0.75</v>
      </c>
      <c r="D3" s="11">
        <v>27.7</v>
      </c>
      <c r="E3" s="19">
        <v>0.1</v>
      </c>
    </row>
    <row r="4" spans="1:7">
      <c r="A4" s="122">
        <v>0.2</v>
      </c>
      <c r="B4" s="11">
        <v>270</v>
      </c>
      <c r="C4" s="19">
        <v>1.5</v>
      </c>
      <c r="D4" s="11">
        <v>54.4</v>
      </c>
      <c r="E4" s="19">
        <v>0.2</v>
      </c>
    </row>
    <row r="5" spans="1:7">
      <c r="A5" s="122">
        <v>0.3</v>
      </c>
      <c r="B5" s="11">
        <v>410</v>
      </c>
      <c r="C5" s="19">
        <v>2.25</v>
      </c>
      <c r="D5" s="11">
        <v>81.7</v>
      </c>
      <c r="E5" s="19">
        <v>0.3</v>
      </c>
    </row>
    <row r="6" spans="1:7">
      <c r="A6" s="122">
        <v>0.4</v>
      </c>
      <c r="B6" s="11">
        <v>545</v>
      </c>
      <c r="C6" s="19">
        <v>3</v>
      </c>
      <c r="D6" s="11">
        <v>108.9</v>
      </c>
      <c r="E6" s="19">
        <v>0.4</v>
      </c>
    </row>
    <row r="7" spans="1:7">
      <c r="A7" s="122">
        <v>0.5</v>
      </c>
      <c r="B7" s="11">
        <v>680</v>
      </c>
      <c r="C7" s="19">
        <v>3.75</v>
      </c>
      <c r="D7" s="11">
        <v>136.19999999999999</v>
      </c>
      <c r="E7" s="19">
        <v>0.5</v>
      </c>
    </row>
    <row r="8" spans="1:7">
      <c r="A8" s="122">
        <v>0.6</v>
      </c>
      <c r="B8" s="11">
        <v>820</v>
      </c>
      <c r="C8" s="19">
        <v>4.5</v>
      </c>
      <c r="D8" s="11">
        <v>163.19999999999999</v>
      </c>
      <c r="E8" s="19">
        <v>0.6</v>
      </c>
    </row>
    <row r="9" spans="1:7">
      <c r="A9" s="122">
        <v>0.7</v>
      </c>
      <c r="B9" s="11">
        <v>953</v>
      </c>
      <c r="C9" s="19">
        <v>5.25</v>
      </c>
      <c r="D9" s="11">
        <v>190.7</v>
      </c>
      <c r="E9" s="19">
        <v>0.7</v>
      </c>
    </row>
    <row r="10" spans="1:7">
      <c r="A10" s="122">
        <v>0.8</v>
      </c>
      <c r="B10" s="11">
        <v>1089</v>
      </c>
      <c r="C10" s="19">
        <v>6</v>
      </c>
      <c r="D10" s="11">
        <v>217.9</v>
      </c>
      <c r="E10" s="19">
        <v>0.8</v>
      </c>
    </row>
    <row r="11" spans="1:7">
      <c r="A11" s="123">
        <v>0.9</v>
      </c>
      <c r="B11" s="14">
        <v>1225</v>
      </c>
      <c r="C11" s="15">
        <v>6.75</v>
      </c>
      <c r="D11" s="14">
        <v>245.2</v>
      </c>
      <c r="E11" s="15">
        <v>0.9</v>
      </c>
    </row>
    <row r="12" spans="1:7">
      <c r="A12" s="7"/>
      <c r="B12" s="7"/>
      <c r="C12" s="7"/>
      <c r="D12" s="7"/>
      <c r="E12" s="7"/>
      <c r="F12" s="7"/>
    </row>
    <row r="13" spans="1:7">
      <c r="A13" s="7" t="s">
        <v>291</v>
      </c>
      <c r="B13" s="7"/>
      <c r="C13" s="7"/>
      <c r="D13" s="7"/>
      <c r="E13" s="7"/>
      <c r="F13" s="7"/>
    </row>
    <row r="14" spans="1:7">
      <c r="A14" s="7" t="s">
        <v>292</v>
      </c>
      <c r="B14" s="87">
        <f>C3*10*'Balance calefacción'!Q37*'Balance calefacción'!M36</f>
        <v>57.715391265944504</v>
      </c>
      <c r="C14" s="87" t="s">
        <v>27</v>
      </c>
      <c r="D14" s="87" t="s">
        <v>293</v>
      </c>
      <c r="E14" s="87">
        <f>+B3*10*'Balance calefacción'!Q37*'Balance calefacción'!M36</f>
        <v>10773.539702976308</v>
      </c>
      <c r="F14" s="7" t="s">
        <v>294</v>
      </c>
      <c r="G14" t="s">
        <v>2</v>
      </c>
    </row>
    <row r="15" spans="1:7">
      <c r="A15" s="7" t="s">
        <v>295</v>
      </c>
      <c r="B15" s="87">
        <f>+E3*10*'Balance calefacción'!Q37*'Balance calefacción'!M36</f>
        <v>7.6953855021259345</v>
      </c>
      <c r="C15" s="87" t="s">
        <v>27</v>
      </c>
      <c r="D15" s="87"/>
      <c r="E15" s="87">
        <f>+D3*10*'Balance calefacción'!Q37*'Balance calefacción'!M36</f>
        <v>2131.6217840888839</v>
      </c>
      <c r="F15" s="7" t="s">
        <v>294</v>
      </c>
    </row>
    <row r="16" spans="1:7">
      <c r="A16" s="7"/>
      <c r="B16" s="7"/>
      <c r="C16" s="7"/>
      <c r="D16" s="7"/>
      <c r="E16" s="7"/>
      <c r="F16" s="7"/>
    </row>
    <row r="17" spans="1:6">
      <c r="A17" s="7" t="s">
        <v>296</v>
      </c>
      <c r="B17" s="7"/>
      <c r="C17" s="7"/>
      <c r="D17" s="7" t="s">
        <v>347</v>
      </c>
      <c r="E17" s="7"/>
      <c r="F17" s="7"/>
    </row>
    <row r="18" spans="1:6">
      <c r="A18" s="7"/>
      <c r="B18" s="7"/>
      <c r="C18" s="7" t="s">
        <v>297</v>
      </c>
      <c r="D18" s="7" t="s">
        <v>348</v>
      </c>
      <c r="E18" s="7" t="s">
        <v>299</v>
      </c>
      <c r="F18" s="7"/>
    </row>
    <row r="19" spans="1:6">
      <c r="A19" s="7" t="s">
        <v>300</v>
      </c>
      <c r="B19" s="7"/>
      <c r="C19" s="7">
        <v>2200</v>
      </c>
      <c r="D19" s="124">
        <v>0.12</v>
      </c>
      <c r="E19" s="87">
        <f>+($E$14/C19)/D19</f>
        <v>40.808862511273894</v>
      </c>
      <c r="F19" s="7" t="s">
        <v>27</v>
      </c>
    </row>
    <row r="20" spans="1:6">
      <c r="A20" s="7" t="s">
        <v>301</v>
      </c>
      <c r="B20" s="7"/>
      <c r="C20" s="7">
        <v>1800</v>
      </c>
      <c r="D20" s="124">
        <v>0.1</v>
      </c>
      <c r="E20" s="87">
        <f>+($E$14/C20)/D20</f>
        <v>59.852998349868372</v>
      </c>
      <c r="F20" s="7" t="s">
        <v>27</v>
      </c>
    </row>
    <row r="21" spans="1:6">
      <c r="A21" s="7" t="s">
        <v>302</v>
      </c>
      <c r="B21" s="7"/>
      <c r="C21" s="7">
        <v>1600</v>
      </c>
      <c r="D21" s="124">
        <v>0.1</v>
      </c>
      <c r="E21" s="87">
        <f>+($E$14/C21)/D21</f>
        <v>67.334623143601917</v>
      </c>
      <c r="F21" s="7" t="s">
        <v>27</v>
      </c>
    </row>
    <row r="22" spans="1:6">
      <c r="A22" s="7" t="s">
        <v>303</v>
      </c>
      <c r="B22" s="7"/>
      <c r="C22" s="7">
        <v>2500</v>
      </c>
      <c r="D22" s="124">
        <v>0.12</v>
      </c>
      <c r="E22" s="87">
        <f>+($E$14/C22)/D22</f>
        <v>35.911799009921033</v>
      </c>
      <c r="F22" s="7" t="s">
        <v>27</v>
      </c>
    </row>
    <row r="23" spans="1:6">
      <c r="A23" s="7" t="s">
        <v>304</v>
      </c>
      <c r="B23" s="7"/>
      <c r="C23" s="7">
        <v>2000</v>
      </c>
      <c r="D23" s="124">
        <v>0.11</v>
      </c>
      <c r="E23" s="87">
        <f>+($E$14/C23)/D23</f>
        <v>48.970635013528671</v>
      </c>
      <c r="F23" s="7" t="s">
        <v>27</v>
      </c>
    </row>
    <row r="24" spans="1:6">
      <c r="A24" s="7"/>
      <c r="B24" s="7"/>
      <c r="C24" s="7"/>
      <c r="D24" s="124"/>
      <c r="E24" s="87"/>
      <c r="F24" s="7"/>
    </row>
    <row r="25" spans="1:6">
      <c r="A25" s="7" t="s">
        <v>305</v>
      </c>
      <c r="B25" s="7" t="s">
        <v>2</v>
      </c>
      <c r="C25" s="7">
        <v>1000</v>
      </c>
      <c r="D25" s="124">
        <v>0.25</v>
      </c>
      <c r="E25" s="87">
        <f>+($E$15/C25)/D25</f>
        <v>8.5264871363555361</v>
      </c>
      <c r="F25" s="7" t="s">
        <v>27</v>
      </c>
    </row>
    <row r="26" spans="1:6">
      <c r="A26" s="7"/>
      <c r="B26" s="7"/>
      <c r="C26" s="7"/>
      <c r="D26" s="7"/>
      <c r="E26" s="7"/>
      <c r="F26" s="7"/>
    </row>
  </sheetData>
  <phoneticPr fontId="14" type="noConversion"/>
  <pageMargins left="0.75" right="0.75" top="1" bottom="1" header="0" footer="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1"/>
  <dimension ref="A2:L112"/>
  <sheetViews>
    <sheetView workbookViewId="0">
      <selection activeCell="K18" sqref="K18"/>
    </sheetView>
  </sheetViews>
  <sheetFormatPr baseColWidth="10" defaultRowHeight="12.75"/>
  <cols>
    <col min="1" max="1" width="4.5703125" customWidth="1"/>
    <col min="2" max="2" width="14.5703125" customWidth="1"/>
    <col min="3" max="3" width="14" customWidth="1"/>
    <col min="9" max="9" width="3.5703125" customWidth="1"/>
    <col min="10" max="10" width="4" customWidth="1"/>
  </cols>
  <sheetData>
    <row r="2" spans="2:10">
      <c r="B2" s="664" t="s">
        <v>673</v>
      </c>
      <c r="C2" s="664"/>
      <c r="D2" s="664"/>
      <c r="E2" s="664"/>
      <c r="F2" s="664"/>
      <c r="G2" s="664"/>
      <c r="H2" s="664"/>
    </row>
    <row r="3" spans="2:10" ht="13.5" thickBot="1"/>
    <row r="4" spans="2:10" ht="13.5" thickBot="1">
      <c r="B4" s="517" t="s">
        <v>674</v>
      </c>
      <c r="C4" s="518" t="str">
        <f>+Lugar!D17</f>
        <v>Vivienda Perez - Guaymallén, Mendoza</v>
      </c>
      <c r="D4" s="519"/>
      <c r="E4" s="519"/>
      <c r="F4" s="519"/>
      <c r="G4" s="519"/>
      <c r="H4" s="520"/>
    </row>
    <row r="5" spans="2:10" ht="13.5" thickBot="1">
      <c r="B5" s="89"/>
      <c r="C5" s="89"/>
      <c r="D5" s="89"/>
      <c r="E5" s="89"/>
      <c r="F5" s="89"/>
      <c r="G5" s="89"/>
      <c r="H5" s="89"/>
    </row>
    <row r="6" spans="2:10" ht="13.5" thickBot="1">
      <c r="B6" s="521" t="s">
        <v>675</v>
      </c>
      <c r="C6" s="522"/>
      <c r="D6" s="518" t="str">
        <f>+'Balance calefacción'!B4</f>
        <v>Salta</v>
      </c>
      <c r="E6" s="519"/>
      <c r="F6" s="519"/>
      <c r="G6" s="519"/>
      <c r="H6" s="520"/>
    </row>
    <row r="7" spans="2:10">
      <c r="D7" s="523"/>
    </row>
    <row r="9" spans="2:10" ht="13.5" thickBot="1">
      <c r="B9" s="1" t="s">
        <v>676</v>
      </c>
    </row>
    <row r="10" spans="2:10">
      <c r="B10" s="524" t="s">
        <v>354</v>
      </c>
      <c r="C10" s="525" t="str">
        <f>+[1]superficies!E24</f>
        <v>Factor de Area Envolvente/Piso: ideal entre 1 y 2</v>
      </c>
      <c r="D10" s="525"/>
      <c r="E10" s="525"/>
      <c r="F10" s="525"/>
      <c r="G10" s="526">
        <f>+superficies!D25</f>
        <v>2.1518900343642615</v>
      </c>
      <c r="H10" s="527" t="str">
        <f>+[1]superficies!C24</f>
        <v>m²/m²</v>
      </c>
    </row>
    <row r="11" spans="2:10">
      <c r="B11" s="528" t="s">
        <v>94</v>
      </c>
      <c r="C11" s="245"/>
      <c r="D11" s="245"/>
      <c r="E11" s="245"/>
      <c r="F11" s="245"/>
      <c r="G11" s="529">
        <f>+superficies!D26</f>
        <v>1</v>
      </c>
      <c r="H11" s="530" t="str">
        <f>+[1]superficies!C24</f>
        <v>m²/m²</v>
      </c>
    </row>
    <row r="12" spans="2:10">
      <c r="B12" s="528" t="s">
        <v>677</v>
      </c>
      <c r="C12" s="245"/>
      <c r="D12" s="245"/>
      <c r="E12" s="245"/>
      <c r="F12" s="245"/>
      <c r="G12" s="529">
        <f>+superficies!D27</f>
        <v>1.1518900343642613</v>
      </c>
      <c r="H12" s="530" t="str">
        <f>+[1]superficies!C24</f>
        <v>m²/m²</v>
      </c>
    </row>
    <row r="13" spans="2:10" ht="15" thickBot="1">
      <c r="B13" s="531" t="s">
        <v>678</v>
      </c>
      <c r="C13" s="532" t="str">
        <f>+[1]superficies!E28</f>
        <v xml:space="preserve">Factor de Forma: ideal entre 0,6 y 1,2 </v>
      </c>
      <c r="D13" s="532"/>
      <c r="E13" s="532"/>
      <c r="F13" s="532"/>
      <c r="G13" s="533">
        <f>+superficies!D29</f>
        <v>0.89662084765177552</v>
      </c>
      <c r="H13" s="534" t="s">
        <v>357</v>
      </c>
    </row>
    <row r="15" spans="2:10" ht="13.5" thickBot="1">
      <c r="B15" s="1" t="s">
        <v>679</v>
      </c>
    </row>
    <row r="16" spans="2:10">
      <c r="B16" s="535" t="s">
        <v>680</v>
      </c>
      <c r="C16" s="525"/>
      <c r="D16" s="525"/>
      <c r="E16" s="525"/>
      <c r="F16" s="525"/>
      <c r="G16" s="525"/>
      <c r="H16" s="536"/>
      <c r="I16" s="245"/>
      <c r="J16" s="245"/>
    </row>
    <row r="17" spans="2:10">
      <c r="B17" s="528"/>
      <c r="C17" s="245"/>
      <c r="D17" s="245"/>
      <c r="E17" s="245"/>
      <c r="F17" s="245"/>
      <c r="G17" s="245"/>
      <c r="H17" s="537"/>
      <c r="I17" s="245"/>
      <c r="J17" s="245"/>
    </row>
    <row r="18" spans="2:10">
      <c r="B18" s="528"/>
      <c r="C18" s="245"/>
      <c r="D18" s="245"/>
      <c r="E18" s="245"/>
      <c r="F18" s="245"/>
      <c r="G18" s="245"/>
      <c r="H18" s="537"/>
      <c r="I18" s="245"/>
      <c r="J18" s="245"/>
    </row>
    <row r="19" spans="2:10">
      <c r="B19" s="538" t="s">
        <v>681</v>
      </c>
      <c r="C19" s="539" t="s">
        <v>11</v>
      </c>
      <c r="D19" s="245"/>
      <c r="E19" s="245"/>
      <c r="F19" s="245"/>
      <c r="G19" s="245"/>
      <c r="H19" s="537"/>
      <c r="I19" s="245"/>
      <c r="J19" s="245"/>
    </row>
    <row r="20" spans="2:10">
      <c r="B20" s="29" t="s">
        <v>69</v>
      </c>
      <c r="C20" s="540">
        <f>+'Balance calefacción'!G10</f>
        <v>23.60439464011424</v>
      </c>
      <c r="D20" s="245"/>
      <c r="E20" s="245"/>
      <c r="F20" s="245"/>
      <c r="G20" s="245"/>
      <c r="H20" s="537"/>
      <c r="I20" s="245"/>
      <c r="J20" s="245"/>
    </row>
    <row r="21" spans="2:10">
      <c r="B21" s="29" t="s">
        <v>70</v>
      </c>
      <c r="C21" s="540">
        <f>+'Balance calefacción'!G11</f>
        <v>4.3141942195895409</v>
      </c>
      <c r="D21" s="245"/>
      <c r="E21" s="245"/>
      <c r="F21" s="245"/>
      <c r="G21" s="245"/>
      <c r="H21" s="537"/>
      <c r="I21" s="245"/>
      <c r="J21" s="245"/>
    </row>
    <row r="22" spans="2:10">
      <c r="B22" s="29" t="s">
        <v>71</v>
      </c>
      <c r="C22" s="540">
        <f>+'Balance calefacción'!G12</f>
        <v>19.31431566000856</v>
      </c>
      <c r="D22" s="245"/>
      <c r="E22" s="245"/>
      <c r="F22" s="245"/>
      <c r="G22" s="245"/>
      <c r="H22" s="537"/>
      <c r="I22" s="245"/>
      <c r="J22" s="245"/>
    </row>
    <row r="23" spans="2:10">
      <c r="B23" s="29" t="s">
        <v>72</v>
      </c>
      <c r="C23" s="540">
        <f>+'Balance calefacción'!G13</f>
        <v>0</v>
      </c>
      <c r="D23" s="245"/>
      <c r="E23" s="245"/>
      <c r="F23" s="245"/>
      <c r="G23" s="245"/>
      <c r="H23" s="537"/>
      <c r="I23" s="245"/>
      <c r="J23" s="245"/>
    </row>
    <row r="24" spans="2:10">
      <c r="B24" s="29" t="s">
        <v>73</v>
      </c>
      <c r="C24" s="540">
        <f>+'Balance calefacción'!G14</f>
        <v>6.3929721112440703</v>
      </c>
      <c r="D24" s="245"/>
      <c r="E24" s="245"/>
      <c r="F24" s="245"/>
      <c r="G24" s="245"/>
      <c r="H24" s="537"/>
      <c r="I24" s="245"/>
      <c r="J24" s="245"/>
    </row>
    <row r="25" spans="2:10">
      <c r="B25" s="29" t="s">
        <v>89</v>
      </c>
      <c r="C25" s="540">
        <f>+'Balance calefacción'!G15</f>
        <v>5.1281831104979441</v>
      </c>
      <c r="D25" s="245"/>
      <c r="E25" s="245"/>
      <c r="F25" s="245"/>
      <c r="G25" s="245"/>
      <c r="H25" s="537"/>
      <c r="I25" s="245"/>
      <c r="J25" s="245"/>
    </row>
    <row r="26" spans="2:10">
      <c r="B26" s="29" t="s">
        <v>13</v>
      </c>
      <c r="C26" s="540">
        <f>+'Balance calefacción'!G16</f>
        <v>22.993911959837565</v>
      </c>
      <c r="D26" s="245"/>
      <c r="E26" s="245"/>
      <c r="F26" s="245"/>
      <c r="G26" s="245"/>
      <c r="H26" s="537"/>
      <c r="I26" s="245"/>
      <c r="J26" s="245"/>
    </row>
    <row r="27" spans="2:10">
      <c r="B27" s="29" t="s">
        <v>14</v>
      </c>
      <c r="C27" s="540">
        <f>+'Balance calefacción'!G17</f>
        <v>18.252028298708087</v>
      </c>
      <c r="D27" s="245"/>
      <c r="E27" s="245"/>
      <c r="F27" s="245"/>
      <c r="G27" s="245"/>
      <c r="H27" s="537"/>
      <c r="I27" s="245"/>
      <c r="J27" s="245"/>
    </row>
    <row r="28" spans="2:10">
      <c r="B28" s="528"/>
      <c r="C28" s="245"/>
      <c r="D28" s="245"/>
      <c r="E28" s="245"/>
      <c r="F28" s="245"/>
      <c r="G28" s="245"/>
      <c r="H28" s="537"/>
      <c r="I28" s="245"/>
      <c r="J28" s="245"/>
    </row>
    <row r="29" spans="2:10">
      <c r="B29" s="603" t="s">
        <v>716</v>
      </c>
      <c r="C29" s="495">
        <f>SUM(C20:C27)</f>
        <v>100</v>
      </c>
      <c r="D29" s="566" t="s">
        <v>11</v>
      </c>
      <c r="E29" s="245"/>
      <c r="F29" s="245"/>
      <c r="G29" s="245"/>
      <c r="H29" s="537"/>
      <c r="I29" s="245"/>
      <c r="J29" s="245"/>
    </row>
    <row r="30" spans="2:10" ht="13.5" thickBot="1">
      <c r="B30" s="528"/>
      <c r="C30" s="245"/>
      <c r="D30" s="245"/>
      <c r="E30" s="245"/>
      <c r="F30" s="245"/>
      <c r="G30" s="245"/>
      <c r="H30" s="537"/>
      <c r="I30" s="245"/>
      <c r="J30" s="245"/>
    </row>
    <row r="31" spans="2:10" ht="13.5" thickBot="1">
      <c r="B31" s="604" t="s">
        <v>717</v>
      </c>
      <c r="C31" s="605">
        <f>+'Balance calefacción'!F21</f>
        <v>225.99817031249998</v>
      </c>
      <c r="D31" s="606" t="s">
        <v>718</v>
      </c>
      <c r="E31" s="245"/>
      <c r="F31" s="245"/>
      <c r="G31" s="245"/>
      <c r="H31" s="537"/>
      <c r="I31" s="245"/>
      <c r="J31" s="245"/>
    </row>
    <row r="32" spans="2:10">
      <c r="B32" s="528"/>
      <c r="C32" s="245"/>
      <c r="D32" s="245"/>
      <c r="E32" s="245"/>
      <c r="F32" s="245"/>
      <c r="G32" s="245"/>
      <c r="H32" s="537"/>
      <c r="I32" s="245"/>
      <c r="J32" s="245"/>
    </row>
    <row r="33" spans="1:10">
      <c r="B33" s="528"/>
      <c r="C33" s="245"/>
      <c r="D33" s="245"/>
      <c r="E33" s="245"/>
      <c r="F33" s="245"/>
      <c r="G33" s="245"/>
      <c r="H33" s="537"/>
      <c r="I33" s="245"/>
      <c r="J33" s="245"/>
    </row>
    <row r="34" spans="1:10">
      <c r="B34" s="528"/>
      <c r="C34" s="245"/>
      <c r="D34" s="245"/>
      <c r="E34" s="245"/>
      <c r="F34" s="245"/>
      <c r="G34" s="245"/>
      <c r="H34" s="537"/>
      <c r="I34" s="245"/>
      <c r="J34" s="245"/>
    </row>
    <row r="35" spans="1:10">
      <c r="B35" s="528"/>
      <c r="C35" s="245"/>
      <c r="D35" s="245"/>
      <c r="E35" s="245"/>
      <c r="F35" s="245"/>
      <c r="G35" s="245"/>
      <c r="H35" s="537"/>
      <c r="I35" s="245"/>
      <c r="J35" s="245"/>
    </row>
    <row r="36" spans="1:10">
      <c r="B36" s="528"/>
      <c r="C36" s="245"/>
      <c r="D36" s="245"/>
      <c r="E36" s="245"/>
      <c r="F36" s="245"/>
      <c r="G36" s="245"/>
      <c r="H36" s="537"/>
      <c r="I36" s="245"/>
      <c r="J36" s="245"/>
    </row>
    <row r="37" spans="1:10" ht="13.5" thickBot="1">
      <c r="B37" s="541"/>
      <c r="C37" s="532"/>
      <c r="D37" s="532"/>
      <c r="E37" s="532"/>
      <c r="F37" s="532"/>
      <c r="G37" s="532"/>
      <c r="H37" s="542"/>
      <c r="I37" s="245"/>
      <c r="J37" s="245"/>
    </row>
    <row r="38" spans="1:10" ht="13.5" thickBot="1"/>
    <row r="39" spans="1:10">
      <c r="B39" s="543" t="s">
        <v>682</v>
      </c>
      <c r="C39" s="525"/>
      <c r="D39" s="525"/>
      <c r="E39" s="525"/>
      <c r="F39" s="525"/>
      <c r="G39" s="525"/>
      <c r="H39" s="536"/>
    </row>
    <row r="40" spans="1:10">
      <c r="B40" s="528"/>
      <c r="C40" s="245"/>
      <c r="D40" s="245"/>
      <c r="E40" s="245"/>
      <c r="F40" s="245"/>
      <c r="G40" s="245"/>
      <c r="H40" s="537"/>
    </row>
    <row r="41" spans="1:10">
      <c r="A41" s="244"/>
      <c r="B41" s="544" t="s">
        <v>683</v>
      </c>
      <c r="C41" s="293"/>
      <c r="D41" s="245"/>
      <c r="E41" s="293"/>
      <c r="F41" s="293"/>
      <c r="G41" s="545">
        <f>+'Balance calefacción'!M36</f>
        <v>18</v>
      </c>
      <c r="H41" s="546"/>
    </row>
    <row r="42" spans="1:10" ht="13.5" thickBot="1">
      <c r="A42" s="244"/>
      <c r="B42" s="547" t="s">
        <v>684</v>
      </c>
      <c r="C42" s="548"/>
      <c r="D42" s="532"/>
      <c r="E42" s="548"/>
      <c r="F42" s="548"/>
      <c r="G42" s="549">
        <f>+'Balance calefacción'!Q37</f>
        <v>0.42752141678477412</v>
      </c>
      <c r="H42" s="550"/>
    </row>
    <row r="43" spans="1:10" ht="13.5" thickBot="1">
      <c r="A43" s="244"/>
      <c r="B43" s="293"/>
      <c r="C43" s="293"/>
      <c r="D43" s="293"/>
      <c r="E43" s="293"/>
      <c r="F43" s="293"/>
      <c r="G43" s="293"/>
      <c r="H43" s="293"/>
    </row>
    <row r="44" spans="1:10">
      <c r="A44" s="244"/>
      <c r="B44" s="551" t="s">
        <v>685</v>
      </c>
      <c r="C44" s="552"/>
      <c r="D44" s="552"/>
      <c r="E44" s="552"/>
      <c r="F44" s="552"/>
      <c r="G44" s="552"/>
      <c r="H44" s="553"/>
    </row>
    <row r="45" spans="1:10">
      <c r="A45" s="244"/>
      <c r="B45" s="554"/>
      <c r="C45" s="293"/>
      <c r="D45" s="293"/>
      <c r="E45" s="293"/>
      <c r="F45" s="293"/>
      <c r="G45" s="293"/>
      <c r="H45" s="546"/>
    </row>
    <row r="46" spans="1:10">
      <c r="A46" s="244"/>
      <c r="B46" s="528"/>
      <c r="C46" s="245"/>
      <c r="D46" s="245"/>
      <c r="E46" s="293"/>
      <c r="F46" s="293"/>
      <c r="G46" s="555" t="s">
        <v>686</v>
      </c>
      <c r="H46" s="546"/>
    </row>
    <row r="47" spans="1:10">
      <c r="A47" s="244"/>
      <c r="B47" s="554"/>
      <c r="C47" s="293"/>
      <c r="D47" s="556" t="s">
        <v>687</v>
      </c>
      <c r="E47" s="557" t="s">
        <v>688</v>
      </c>
      <c r="F47" s="556" t="s">
        <v>689</v>
      </c>
      <c r="G47" s="557" t="s">
        <v>690</v>
      </c>
      <c r="H47" s="546"/>
    </row>
    <row r="48" spans="1:10">
      <c r="A48" s="244"/>
      <c r="B48" s="544" t="s">
        <v>691</v>
      </c>
      <c r="C48" s="293"/>
      <c r="D48" s="558">
        <f>+'Balance calefacción'!X7</f>
        <v>4093.6159990337264</v>
      </c>
      <c r="E48" s="557" t="s">
        <v>100</v>
      </c>
      <c r="F48" s="559">
        <f>+'Balance calefacción'!AB8</f>
        <v>147</v>
      </c>
      <c r="G48" s="560">
        <f>+'Balance calefacción'!AC8</f>
        <v>601761.55185795773</v>
      </c>
      <c r="H48" s="546"/>
    </row>
    <row r="49" spans="1:9">
      <c r="A49" s="244"/>
      <c r="B49" s="554" t="s">
        <v>324</v>
      </c>
      <c r="C49" s="293"/>
      <c r="D49" s="558">
        <f>+'Balance calefacción'!X8</f>
        <v>4093.6159990337264</v>
      </c>
      <c r="E49" s="503" t="s">
        <v>692</v>
      </c>
      <c r="F49" s="559">
        <f>+'Balance calefacción'!AB9</f>
        <v>400</v>
      </c>
      <c r="G49" s="560">
        <f>+'Balance calefacción'!AC9</f>
        <v>125729.59762243982</v>
      </c>
      <c r="H49" s="546"/>
    </row>
    <row r="50" spans="1:9">
      <c r="A50" s="244"/>
      <c r="B50" s="554" t="s">
        <v>325</v>
      </c>
      <c r="C50" s="293"/>
      <c r="D50" s="558">
        <f>+'Balance calefacción'!X9</f>
        <v>314.32399405609954</v>
      </c>
      <c r="E50" s="503" t="s">
        <v>693</v>
      </c>
      <c r="F50" s="559">
        <f>+'Balance calefacción'!AB10</f>
        <v>107.5</v>
      </c>
      <c r="G50" s="560">
        <f>+'Balance calefacción'!AC10</f>
        <v>40671.323465445988</v>
      </c>
      <c r="H50" s="546"/>
    </row>
    <row r="51" spans="1:9">
      <c r="A51" s="244"/>
      <c r="B51" s="554" t="s">
        <v>326</v>
      </c>
      <c r="C51" s="293"/>
      <c r="D51" s="558">
        <f>+'Balance calefacción'!X10</f>
        <v>378.33789270182314</v>
      </c>
      <c r="E51" s="503" t="s">
        <v>694</v>
      </c>
      <c r="F51" s="559">
        <f>+'Balance calefacción'!AB11</f>
        <v>0</v>
      </c>
      <c r="G51" s="560">
        <f>+'Balance calefacción'!AC11</f>
        <v>0</v>
      </c>
      <c r="H51" s="546"/>
    </row>
    <row r="52" spans="1:9" ht="13.5" thickBot="1">
      <c r="A52" s="244"/>
      <c r="B52" s="561" t="s">
        <v>327</v>
      </c>
      <c r="C52" s="548"/>
      <c r="D52" s="558">
        <f>+'Balance calefacción'!X11</f>
        <v>457.38726246186889</v>
      </c>
      <c r="E52" s="562" t="s">
        <v>695</v>
      </c>
      <c r="F52" s="559">
        <f>+'Balance calefacción'!AB12</f>
        <v>180</v>
      </c>
      <c r="G52" s="560">
        <f>+'Balance calefacción'!AC12</f>
        <v>211738.75857070999</v>
      </c>
      <c r="H52" s="550"/>
    </row>
    <row r="53" spans="1:9" ht="13.5" thickBot="1">
      <c r="A53" s="244"/>
      <c r="B53" s="293"/>
      <c r="C53" s="293"/>
      <c r="D53" s="293"/>
      <c r="E53" s="293"/>
      <c r="F53" s="293"/>
      <c r="G53" s="293"/>
      <c r="H53" s="293"/>
    </row>
    <row r="54" spans="1:9">
      <c r="A54" s="244"/>
      <c r="B54" s="551" t="s">
        <v>696</v>
      </c>
      <c r="C54" s="552"/>
      <c r="D54" s="552"/>
      <c r="E54" s="552"/>
      <c r="F54" s="552"/>
      <c r="G54" s="552"/>
      <c r="H54" s="553"/>
    </row>
    <row r="55" spans="1:9">
      <c r="A55" s="244"/>
      <c r="B55" s="554"/>
      <c r="C55" s="293"/>
      <c r="D55" s="293"/>
      <c r="E55" s="293"/>
      <c r="F55" s="293"/>
      <c r="G55" s="293"/>
      <c r="H55" s="546"/>
    </row>
    <row r="56" spans="1:9" ht="13.5" thickBot="1">
      <c r="A56" s="244"/>
      <c r="B56" s="547" t="s">
        <v>405</v>
      </c>
      <c r="C56" s="548"/>
      <c r="D56" s="532"/>
      <c r="E56" s="532"/>
      <c r="F56" s="548"/>
      <c r="G56" s="563">
        <f>+'Balance calefacción'!Y26</f>
        <v>7029.0177029172855</v>
      </c>
      <c r="H56" s="564" t="s">
        <v>75</v>
      </c>
    </row>
    <row r="57" spans="1:9">
      <c r="A57" s="244"/>
      <c r="B57" s="244"/>
      <c r="C57" s="244"/>
      <c r="D57" s="244"/>
      <c r="E57" s="244"/>
      <c r="F57" s="244"/>
      <c r="G57" s="244"/>
      <c r="H57" s="244"/>
    </row>
    <row r="58" spans="1:9" ht="13.5" thickBot="1"/>
    <row r="59" spans="1:9">
      <c r="A59" s="524"/>
      <c r="B59" s="565" t="s">
        <v>697</v>
      </c>
      <c r="C59" s="525"/>
      <c r="D59" s="525"/>
      <c r="E59" s="525"/>
      <c r="F59" s="525"/>
      <c r="G59" s="525"/>
      <c r="H59" s="525"/>
      <c r="I59" s="536"/>
    </row>
    <row r="60" spans="1:9">
      <c r="A60" s="528"/>
      <c r="B60" s="245"/>
      <c r="C60" s="245"/>
      <c r="D60" s="245"/>
      <c r="E60" s="245"/>
      <c r="F60" s="245"/>
      <c r="G60" s="245"/>
      <c r="H60" s="245"/>
      <c r="I60" s="537"/>
    </row>
    <row r="61" spans="1:9">
      <c r="A61" s="528"/>
      <c r="B61" s="245"/>
      <c r="C61" s="566" t="s">
        <v>698</v>
      </c>
      <c r="D61" s="245"/>
      <c r="G61" s="540">
        <f>+'Balance enfriamiento'!D264</f>
        <v>6357.7536636443747</v>
      </c>
      <c r="H61" s="566" t="s">
        <v>699</v>
      </c>
      <c r="I61" s="537"/>
    </row>
    <row r="62" spans="1:9">
      <c r="A62" s="528"/>
      <c r="B62" s="245"/>
      <c r="C62" s="566" t="s">
        <v>535</v>
      </c>
      <c r="D62" s="245"/>
      <c r="G62" s="545">
        <f>+'Balance enfriamiento'!G266</f>
        <v>24</v>
      </c>
      <c r="H62" s="566" t="s">
        <v>98</v>
      </c>
      <c r="I62" s="537"/>
    </row>
    <row r="63" spans="1:9">
      <c r="A63" s="528"/>
      <c r="B63" s="245"/>
      <c r="C63" s="245"/>
      <c r="D63" s="245"/>
      <c r="E63" s="245"/>
      <c r="F63" s="245"/>
      <c r="G63" s="245"/>
      <c r="H63" s="245"/>
      <c r="I63" s="537"/>
    </row>
    <row r="64" spans="1:9">
      <c r="A64" s="528"/>
      <c r="B64" s="245"/>
      <c r="C64" s="245"/>
      <c r="D64" s="245"/>
      <c r="E64" s="245"/>
      <c r="F64" s="245"/>
      <c r="G64" s="245"/>
      <c r="H64" s="245"/>
      <c r="I64" s="537"/>
    </row>
    <row r="65" spans="1:9">
      <c r="A65" s="528"/>
      <c r="B65" s="245"/>
      <c r="C65" s="245"/>
      <c r="D65" s="245"/>
      <c r="E65" s="245"/>
      <c r="F65" s="245"/>
      <c r="G65" s="245"/>
      <c r="H65" s="245"/>
      <c r="I65" s="537"/>
    </row>
    <row r="66" spans="1:9">
      <c r="A66" s="528"/>
      <c r="B66" s="245"/>
      <c r="C66" s="245"/>
      <c r="D66" s="245"/>
      <c r="E66" s="245"/>
      <c r="F66" s="245"/>
      <c r="G66" s="245"/>
      <c r="H66" s="245"/>
      <c r="I66" s="537"/>
    </row>
    <row r="67" spans="1:9">
      <c r="A67" s="528"/>
      <c r="B67" s="245"/>
      <c r="C67" s="245"/>
      <c r="D67" s="245"/>
      <c r="E67" s="245"/>
      <c r="F67" s="245"/>
      <c r="G67" s="245"/>
      <c r="H67" s="245"/>
      <c r="I67" s="537"/>
    </row>
    <row r="68" spans="1:9">
      <c r="A68" s="528"/>
      <c r="B68" s="245"/>
      <c r="C68" s="245"/>
      <c r="D68" s="245"/>
      <c r="E68" s="245"/>
      <c r="F68" s="245"/>
      <c r="G68" s="245"/>
      <c r="H68" s="245"/>
      <c r="I68" s="537"/>
    </row>
    <row r="69" spans="1:9">
      <c r="A69" s="528"/>
      <c r="B69" s="245"/>
      <c r="C69" s="245"/>
      <c r="D69" s="245"/>
      <c r="E69" s="245"/>
      <c r="F69" s="245"/>
      <c r="G69" s="245"/>
      <c r="H69" s="245"/>
      <c r="I69" s="537"/>
    </row>
    <row r="70" spans="1:9">
      <c r="A70" s="528"/>
      <c r="B70" s="245"/>
      <c r="C70" s="245"/>
      <c r="D70" s="245"/>
      <c r="E70" s="245"/>
      <c r="F70" s="245"/>
      <c r="G70" s="245"/>
      <c r="H70" s="245"/>
      <c r="I70" s="537"/>
    </row>
    <row r="71" spans="1:9">
      <c r="A71" s="528"/>
      <c r="B71" s="245"/>
      <c r="C71" s="245"/>
      <c r="D71" s="245"/>
      <c r="E71" s="245"/>
      <c r="F71" s="245"/>
      <c r="G71" s="245"/>
      <c r="H71" s="245"/>
      <c r="I71" s="537"/>
    </row>
    <row r="72" spans="1:9">
      <c r="A72" s="528"/>
      <c r="B72" s="245"/>
      <c r="C72" s="245"/>
      <c r="D72" s="245"/>
      <c r="E72" s="245"/>
      <c r="F72" s="245"/>
      <c r="G72" s="245"/>
      <c r="H72" s="245"/>
      <c r="I72" s="537"/>
    </row>
    <row r="73" spans="1:9">
      <c r="A73" s="528"/>
      <c r="B73" s="245"/>
      <c r="C73" s="245"/>
      <c r="D73" s="245"/>
      <c r="E73" s="245"/>
      <c r="F73" s="245"/>
      <c r="G73" s="245"/>
      <c r="H73" s="245"/>
      <c r="I73" s="537"/>
    </row>
    <row r="74" spans="1:9">
      <c r="A74" s="528"/>
      <c r="B74" s="245"/>
      <c r="C74" s="245"/>
      <c r="D74" s="245"/>
      <c r="E74" s="245"/>
      <c r="F74" s="245"/>
      <c r="G74" s="245"/>
      <c r="H74" s="245"/>
      <c r="I74" s="537"/>
    </row>
    <row r="75" spans="1:9">
      <c r="A75" s="528"/>
      <c r="B75" s="245"/>
      <c r="C75" s="245"/>
      <c r="D75" s="245"/>
      <c r="E75" s="245"/>
      <c r="F75" s="245"/>
      <c r="G75" s="245"/>
      <c r="H75" s="245"/>
      <c r="I75" s="537"/>
    </row>
    <row r="76" spans="1:9">
      <c r="A76" s="528"/>
      <c r="B76" s="245"/>
      <c r="C76" s="245"/>
      <c r="D76" s="245"/>
      <c r="E76" s="245"/>
      <c r="F76" s="245"/>
      <c r="G76" s="245"/>
      <c r="H76" s="245"/>
      <c r="I76" s="537"/>
    </row>
    <row r="77" spans="1:9">
      <c r="A77" s="528"/>
      <c r="B77" s="245"/>
      <c r="C77" s="245"/>
      <c r="D77" s="245"/>
      <c r="E77" s="245"/>
      <c r="F77" s="245"/>
      <c r="G77" s="245"/>
      <c r="H77" s="245"/>
      <c r="I77" s="537"/>
    </row>
    <row r="78" spans="1:9">
      <c r="A78" s="528"/>
      <c r="B78" s="245"/>
      <c r="C78" s="245"/>
      <c r="D78" s="245"/>
      <c r="E78" s="245"/>
      <c r="F78" s="245"/>
      <c r="G78" s="245"/>
      <c r="H78" s="245"/>
      <c r="I78" s="537"/>
    </row>
    <row r="79" spans="1:9">
      <c r="A79" s="528"/>
      <c r="B79" s="245"/>
      <c r="C79" s="245"/>
      <c r="D79" s="245"/>
      <c r="E79" s="245"/>
      <c r="F79" s="245"/>
      <c r="G79" s="245"/>
      <c r="H79" s="245"/>
      <c r="I79" s="537"/>
    </row>
    <row r="80" spans="1:9">
      <c r="A80" s="528"/>
      <c r="B80" s="567" t="s">
        <v>700</v>
      </c>
      <c r="C80" s="245"/>
      <c r="D80" s="245"/>
      <c r="E80" s="245"/>
      <c r="F80" s="245"/>
      <c r="G80" s="245"/>
      <c r="H80" s="245"/>
      <c r="I80" s="537"/>
    </row>
    <row r="81" spans="1:12" ht="13.5" thickBot="1">
      <c r="A81" s="528"/>
      <c r="B81" s="245"/>
      <c r="C81" s="245"/>
      <c r="D81" s="245"/>
      <c r="E81" s="245"/>
      <c r="F81" s="245"/>
      <c r="G81" s="245"/>
      <c r="H81" s="245"/>
      <c r="I81" s="537"/>
    </row>
    <row r="82" spans="1:12">
      <c r="A82" s="528"/>
      <c r="B82" s="293"/>
      <c r="C82" s="568" t="s">
        <v>225</v>
      </c>
      <c r="D82" s="293"/>
      <c r="E82" s="293"/>
      <c r="F82" s="540">
        <f>+'Balance enfriamiento'!D264</f>
        <v>6357.7536636443747</v>
      </c>
      <c r="G82" s="293" t="str">
        <f>+'[1]Balance enfriamiento'!E235</f>
        <v>W</v>
      </c>
      <c r="H82" s="293"/>
      <c r="I82" s="537"/>
    </row>
    <row r="83" spans="1:12">
      <c r="A83" s="528"/>
      <c r="B83" s="293"/>
      <c r="C83" s="569" t="s">
        <v>282</v>
      </c>
      <c r="D83" s="293"/>
      <c r="E83" s="293"/>
      <c r="F83" s="540">
        <f>+'Balance enfriamiento'!D265</f>
        <v>5467.7289032775316</v>
      </c>
      <c r="G83" s="293" t="str">
        <f>+'[1]Balance enfriamiento'!E236</f>
        <v>frig./hora</v>
      </c>
      <c r="H83" s="293"/>
      <c r="I83" s="537"/>
    </row>
    <row r="84" spans="1:12" ht="13.5" thickBot="1">
      <c r="A84" s="528"/>
      <c r="B84" s="293"/>
      <c r="C84" s="570" t="s">
        <v>283</v>
      </c>
      <c r="D84" s="293"/>
      <c r="E84" s="293"/>
      <c r="F84" s="540">
        <f>+'Balance enfriamiento'!D266</f>
        <v>1.8225763010925105</v>
      </c>
      <c r="G84" s="293" t="str">
        <f>+'[1]Balance enfriamiento'!E237</f>
        <v>Ton.refrig.</v>
      </c>
      <c r="H84" s="293"/>
      <c r="I84" s="537"/>
    </row>
    <row r="85" spans="1:12" ht="13.5" thickBot="1">
      <c r="A85" s="541"/>
      <c r="B85" s="548"/>
      <c r="C85" s="548"/>
      <c r="D85" s="548"/>
      <c r="E85" s="548"/>
      <c r="F85" s="548"/>
      <c r="G85" s="548"/>
      <c r="H85" s="548"/>
      <c r="I85" s="542"/>
    </row>
    <row r="86" spans="1:12" ht="13.5" thickBot="1">
      <c r="B86" s="244"/>
      <c r="C86" s="244"/>
      <c r="D86" s="244"/>
      <c r="E86" s="244"/>
      <c r="F86" s="244"/>
      <c r="G86" s="244"/>
      <c r="H86" s="244"/>
    </row>
    <row r="87" spans="1:12">
      <c r="A87" s="524"/>
      <c r="B87" s="571" t="s">
        <v>701</v>
      </c>
      <c r="C87" s="552"/>
      <c r="D87" s="552"/>
      <c r="E87" s="552"/>
      <c r="F87" s="552"/>
      <c r="G87" s="552"/>
      <c r="H87" s="552"/>
      <c r="I87" s="536"/>
    </row>
    <row r="88" spans="1:12">
      <c r="A88" s="528"/>
      <c r="B88" s="293"/>
      <c r="C88" s="293"/>
      <c r="D88" s="293"/>
      <c r="E88" s="293"/>
      <c r="F88" s="293"/>
      <c r="G88" s="293"/>
      <c r="H88" s="293"/>
      <c r="I88" s="537"/>
    </row>
    <row r="89" spans="1:12" ht="13.5" thickBot="1">
      <c r="A89" s="528"/>
      <c r="B89" s="503" t="s">
        <v>702</v>
      </c>
      <c r="C89" s="293"/>
      <c r="D89" s="293"/>
      <c r="E89" s="293"/>
      <c r="F89" s="293"/>
      <c r="G89" s="293"/>
      <c r="H89" s="293"/>
      <c r="I89" s="537"/>
    </row>
    <row r="90" spans="1:12">
      <c r="A90" s="528"/>
      <c r="B90" s="297"/>
      <c r="C90" s="568" t="s">
        <v>503</v>
      </c>
      <c r="D90" s="572"/>
      <c r="E90" s="568" t="s">
        <v>504</v>
      </c>
      <c r="F90" s="573"/>
      <c r="G90" s="574" t="s">
        <v>505</v>
      </c>
      <c r="H90" s="553"/>
      <c r="I90" s="537"/>
    </row>
    <row r="91" spans="1:12" ht="13.5" thickBot="1">
      <c r="A91" s="528"/>
      <c r="B91" s="297"/>
      <c r="C91" s="575" t="s">
        <v>108</v>
      </c>
      <c r="D91" s="576" t="s">
        <v>502</v>
      </c>
      <c r="E91" s="575" t="s">
        <v>108</v>
      </c>
      <c r="F91" s="576" t="s">
        <v>502</v>
      </c>
      <c r="G91" s="575" t="s">
        <v>108</v>
      </c>
      <c r="H91" s="576" t="s">
        <v>502</v>
      </c>
      <c r="I91" s="537"/>
    </row>
    <row r="92" spans="1:12" ht="13.5" thickBot="1">
      <c r="A92" s="528"/>
      <c r="B92" s="577" t="s">
        <v>320</v>
      </c>
      <c r="C92" s="578">
        <f>+'Enf. convectivo nocturno'!C121</f>
        <v>3.9399962600763407</v>
      </c>
      <c r="D92" s="579">
        <f>+'Enf. convectivo nocturno'!D121</f>
        <v>3.6105349462326151E-2</v>
      </c>
      <c r="E92" s="578">
        <f>+'Enf. convectivo nocturno'!E121</f>
        <v>7.8799925201526815</v>
      </c>
      <c r="F92" s="579">
        <f>+'Enf. convectivo nocturno'!F121</f>
        <v>7.2210698924652303E-2</v>
      </c>
      <c r="G92" s="578">
        <f>+'Enf. convectivo nocturno'!G121</f>
        <v>11.819988780229021</v>
      </c>
      <c r="H92" s="579">
        <f>+'Enf. convectivo nocturno'!H121</f>
        <v>0.10831604838697845</v>
      </c>
      <c r="I92" s="537"/>
    </row>
    <row r="93" spans="1:12" ht="13.5" thickBot="1">
      <c r="A93" s="528"/>
      <c r="B93" s="580" t="s">
        <v>321</v>
      </c>
      <c r="C93" s="578">
        <f>+'Enf. convectivo nocturno'!C122</f>
        <v>3.398435054287094</v>
      </c>
      <c r="D93" s="579">
        <f>+'Enf. convectivo nocturno'!D122</f>
        <v>3.1142589271817591E-2</v>
      </c>
      <c r="E93" s="578">
        <f>+'Enf. convectivo nocturno'!E122</f>
        <v>6.7968701085741881</v>
      </c>
      <c r="F93" s="579">
        <f>+'Enf. convectivo nocturno'!F122</f>
        <v>6.2285178543635182E-2</v>
      </c>
      <c r="G93" s="578">
        <f>+'Enf. convectivo nocturno'!G122</f>
        <v>10.195305162861281</v>
      </c>
      <c r="H93" s="579">
        <f>+'Enf. convectivo nocturno'!H122</f>
        <v>9.342776781545277E-2</v>
      </c>
      <c r="I93" s="537"/>
    </row>
    <row r="94" spans="1:12">
      <c r="A94" s="528"/>
      <c r="B94" s="581" t="s">
        <v>508</v>
      </c>
      <c r="C94" s="297"/>
      <c r="D94" s="297"/>
      <c r="E94" s="297"/>
      <c r="F94" s="297"/>
      <c r="G94" s="293"/>
      <c r="H94" s="293"/>
      <c r="I94" s="537"/>
      <c r="L94" s="623"/>
    </row>
    <row r="95" spans="1:12">
      <c r="A95" s="528"/>
      <c r="B95" s="581" t="s">
        <v>509</v>
      </c>
      <c r="C95" s="297"/>
      <c r="D95" s="297"/>
      <c r="E95" s="297"/>
      <c r="F95" s="297"/>
      <c r="G95" s="297"/>
      <c r="H95" s="293"/>
      <c r="I95" s="537"/>
    </row>
    <row r="96" spans="1:12">
      <c r="A96" s="528"/>
      <c r="B96" s="581"/>
      <c r="C96" s="297"/>
      <c r="D96" s="297"/>
      <c r="E96" s="297"/>
      <c r="F96" s="297"/>
      <c r="G96" s="297"/>
      <c r="H96" s="293"/>
      <c r="I96" s="537"/>
    </row>
    <row r="97" spans="1:9" ht="14.25">
      <c r="A97" s="528"/>
      <c r="B97" s="296" t="s">
        <v>703</v>
      </c>
      <c r="C97" s="297"/>
      <c r="D97" s="297" t="str">
        <f>+'[1]Masa Térmica'!G20</f>
        <v>Muros</v>
      </c>
      <c r="E97" s="582">
        <f>+'Masa Térmica'!G21</f>
        <v>234.82499999999999</v>
      </c>
      <c r="F97" s="581" t="s">
        <v>704</v>
      </c>
      <c r="G97" s="582" t="str">
        <f>IF(E97=0,"  ",+'Masa Térmica'!F22)</f>
        <v>Piedra:</v>
      </c>
      <c r="H97" s="293"/>
      <c r="I97" s="537"/>
    </row>
    <row r="98" spans="1:9" ht="14.25">
      <c r="A98" s="528"/>
      <c r="B98" s="581"/>
      <c r="C98" s="297"/>
      <c r="D98" s="297" t="str">
        <f>+'[1]Masa Térmica'!I20</f>
        <v>Pisos</v>
      </c>
      <c r="E98" s="582">
        <f>+'Masa Térmica'!I21</f>
        <v>109.12499999999999</v>
      </c>
      <c r="F98" s="581" t="s">
        <v>704</v>
      </c>
      <c r="G98" s="582" t="str">
        <f>IF(E98=0,"  ",+'Masa Térmica'!H22)</f>
        <v>Concreto:</v>
      </c>
      <c r="H98" s="293"/>
      <c r="I98" s="537"/>
    </row>
    <row r="99" spans="1:9" ht="15" thickBot="1">
      <c r="A99" s="541"/>
      <c r="B99" s="548"/>
      <c r="C99" s="548"/>
      <c r="D99" s="562" t="s">
        <v>724</v>
      </c>
      <c r="E99" s="621">
        <f>+'Masa Térmica'!K21</f>
        <v>100</v>
      </c>
      <c r="F99" s="622" t="s">
        <v>704</v>
      </c>
      <c r="G99" s="621" t="str">
        <f>IF(E99=0,"  ",+'Masa Térmica'!J22)</f>
        <v>Concrehaus</v>
      </c>
      <c r="H99" s="548"/>
      <c r="I99" s="542"/>
    </row>
    <row r="100" spans="1:9">
      <c r="B100" s="244"/>
      <c r="C100" s="244"/>
      <c r="D100" s="244"/>
      <c r="E100" s="244"/>
      <c r="F100" s="244"/>
      <c r="G100" s="244"/>
      <c r="H100" s="244"/>
    </row>
    <row r="101" spans="1:9" ht="13.5" thickBot="1"/>
    <row r="102" spans="1:9">
      <c r="A102" s="524"/>
      <c r="B102" s="583" t="s">
        <v>705</v>
      </c>
      <c r="C102" s="552"/>
      <c r="D102" s="552"/>
      <c r="E102" s="552"/>
      <c r="F102" s="552"/>
      <c r="G102" s="552"/>
      <c r="H102" s="552"/>
      <c r="I102" s="536"/>
    </row>
    <row r="103" spans="1:9" ht="13.5" thickBot="1">
      <c r="A103" s="528"/>
      <c r="B103" s="293"/>
      <c r="C103" s="293"/>
      <c r="D103" s="293"/>
      <c r="E103" s="293"/>
      <c r="F103" s="293"/>
      <c r="G103" s="293"/>
      <c r="H103" s="293"/>
      <c r="I103" s="537"/>
    </row>
    <row r="104" spans="1:9">
      <c r="A104" s="528"/>
      <c r="B104" s="297"/>
      <c r="C104" s="568" t="s">
        <v>503</v>
      </c>
      <c r="D104" s="572"/>
      <c r="E104" s="568" t="s">
        <v>504</v>
      </c>
      <c r="F104" s="573"/>
      <c r="G104" s="574" t="s">
        <v>505</v>
      </c>
      <c r="H104" s="553"/>
      <c r="I104" s="537"/>
    </row>
    <row r="105" spans="1:9" ht="13.5" thickBot="1">
      <c r="A105" s="528"/>
      <c r="B105" s="297"/>
      <c r="C105" s="575" t="s">
        <v>108</v>
      </c>
      <c r="D105" s="576" t="s">
        <v>502</v>
      </c>
      <c r="E105" s="575" t="s">
        <v>108</v>
      </c>
      <c r="F105" s="576" t="s">
        <v>502</v>
      </c>
      <c r="G105" s="575" t="s">
        <v>108</v>
      </c>
      <c r="H105" s="576" t="s">
        <v>502</v>
      </c>
      <c r="I105" s="537"/>
    </row>
    <row r="106" spans="1:9" ht="13.5" thickBot="1">
      <c r="A106" s="528"/>
      <c r="B106" s="577" t="s">
        <v>320</v>
      </c>
      <c r="C106" s="578">
        <f>+'Ventilación natural'!C114</f>
        <v>2.9665854193515973</v>
      </c>
      <c r="D106" s="579">
        <f>+'Ventilación natural'!D114</f>
        <v>2.7185204301045568E-2</v>
      </c>
      <c r="E106" s="578">
        <f>+'Ventilación natural'!E114</f>
        <v>5.9331708387031945</v>
      </c>
      <c r="F106" s="579">
        <f>+'Ventilación natural'!F114</f>
        <v>5.4370408602091136E-2</v>
      </c>
      <c r="G106" s="578">
        <f>+'Ventilación natural'!G114</f>
        <v>8.8997562580547918</v>
      </c>
      <c r="H106" s="579">
        <f>+'Ventilación natural'!H114</f>
        <v>8.1555612903136704E-2</v>
      </c>
      <c r="I106" s="537"/>
    </row>
    <row r="107" spans="1:9" ht="13.5" thickBot="1">
      <c r="A107" s="528"/>
      <c r="B107" s="580" t="s">
        <v>321</v>
      </c>
      <c r="C107" s="578">
        <f>+'Ventilación natural'!C115</f>
        <v>2.5588216879338122</v>
      </c>
      <c r="D107" s="579">
        <f>+'Ventilación natural'!D115</f>
        <v>2.3448537804662658E-2</v>
      </c>
      <c r="E107" s="578">
        <f>+'Ventilación natural'!E115</f>
        <v>5.1176433758676243</v>
      </c>
      <c r="F107" s="579">
        <f>+'Ventilación natural'!F115</f>
        <v>4.6897075609325316E-2</v>
      </c>
      <c r="G107" s="578">
        <f>+'Ventilación natural'!G115</f>
        <v>7.6764650638014365</v>
      </c>
      <c r="H107" s="579">
        <f>+'Ventilación natural'!H115</f>
        <v>7.034561341398797E-2</v>
      </c>
      <c r="I107" s="537"/>
    </row>
    <row r="108" spans="1:9">
      <c r="A108" s="528"/>
      <c r="B108" s="581" t="s">
        <v>706</v>
      </c>
      <c r="C108" s="297"/>
      <c r="D108" s="297"/>
      <c r="E108" s="297"/>
      <c r="F108" s="297"/>
      <c r="G108" s="293"/>
      <c r="H108" s="293"/>
      <c r="I108" s="537"/>
    </row>
    <row r="109" spans="1:9">
      <c r="A109" s="528"/>
      <c r="B109" s="581" t="s">
        <v>509</v>
      </c>
      <c r="C109" s="297"/>
      <c r="D109" s="297"/>
      <c r="E109" s="297"/>
      <c r="F109" s="297"/>
      <c r="G109" s="297"/>
      <c r="H109" s="293"/>
      <c r="I109" s="537"/>
    </row>
    <row r="110" spans="1:9" ht="13.5" thickBot="1">
      <c r="A110" s="541"/>
      <c r="B110" s="548"/>
      <c r="C110" s="548"/>
      <c r="D110" s="548"/>
      <c r="E110" s="548"/>
      <c r="F110" s="548"/>
      <c r="G110" s="548"/>
      <c r="H110" s="548"/>
      <c r="I110" s="542"/>
    </row>
    <row r="111" spans="1:9">
      <c r="B111" s="244"/>
      <c r="C111" s="244"/>
      <c r="D111" s="244"/>
      <c r="E111" s="244"/>
      <c r="F111" s="244"/>
      <c r="G111" s="244"/>
      <c r="H111" s="244"/>
    </row>
    <row r="112" spans="1:9">
      <c r="B112" s="244"/>
      <c r="C112" s="244"/>
      <c r="D112" s="244"/>
      <c r="E112" s="244"/>
      <c r="F112" s="244"/>
      <c r="G112" s="244"/>
      <c r="H112" s="244"/>
    </row>
  </sheetData>
  <sheetProtection password="EB91" sheet="1" objects="1" scenarios="1"/>
  <mergeCells count="1">
    <mergeCell ref="B2:H2"/>
  </mergeCells>
  <pageMargins left="0.25" right="0.25" top="0.75" bottom="0.75" header="0.3" footer="0.3"/>
  <pageSetup paperSize="9" orientation="portrait" horizontalDpi="0" verticalDpi="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CC71"/>
  <sheetViews>
    <sheetView zoomScaleNormal="100" workbookViewId="0">
      <selection activeCell="G60" sqref="G60"/>
    </sheetView>
  </sheetViews>
  <sheetFormatPr baseColWidth="10" defaultColWidth="9.140625" defaultRowHeight="12.75"/>
  <cols>
    <col min="1" max="1" width="24.85546875" customWidth="1"/>
    <col min="2" max="3" width="14" customWidth="1"/>
    <col min="4" max="4" width="7.85546875" customWidth="1"/>
    <col min="5" max="5" width="6.7109375" customWidth="1"/>
    <col min="6" max="6" width="7.42578125" customWidth="1"/>
    <col min="7" max="7" width="8.7109375" customWidth="1"/>
    <col min="8" max="8" width="10.7109375" customWidth="1"/>
    <col min="9" max="9" width="3.140625" customWidth="1"/>
    <col min="10" max="10" width="5.7109375" customWidth="1"/>
    <col min="11" max="11" width="4.7109375" customWidth="1"/>
  </cols>
  <sheetData>
    <row r="1" spans="1:81">
      <c r="A1" s="6" t="s">
        <v>271</v>
      </c>
      <c r="B1" s="6"/>
      <c r="C1" s="6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</row>
    <row r="2" spans="1:81">
      <c r="A2" s="140" t="s">
        <v>349</v>
      </c>
      <c r="B2" s="140"/>
      <c r="C2" s="140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</row>
    <row r="3" spans="1:81">
      <c r="A3" s="140"/>
      <c r="B3" s="140"/>
      <c r="C3" s="140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</row>
    <row r="4" spans="1:81">
      <c r="A4" s="8" t="s">
        <v>29</v>
      </c>
      <c r="B4" s="38"/>
      <c r="C4" s="38"/>
      <c r="D4" s="9"/>
      <c r="E4" s="9"/>
      <c r="F4" s="9"/>
      <c r="G4" s="9"/>
      <c r="H4" s="9"/>
      <c r="I4" s="9"/>
      <c r="J4" s="9"/>
      <c r="K4" s="10"/>
      <c r="L4" s="7"/>
      <c r="M4" s="599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</row>
    <row r="5" spans="1:81" ht="12.75" customHeight="1">
      <c r="A5" s="11"/>
      <c r="B5" s="645" t="s">
        <v>725</v>
      </c>
      <c r="C5" s="624"/>
      <c r="D5" s="648" t="s">
        <v>726</v>
      </c>
      <c r="E5" s="649"/>
      <c r="F5" s="645" t="s">
        <v>727</v>
      </c>
      <c r="G5" s="645" t="s">
        <v>728</v>
      </c>
      <c r="H5" s="648" t="s">
        <v>0</v>
      </c>
      <c r="I5" s="10"/>
      <c r="J5" s="639" t="s">
        <v>77</v>
      </c>
      <c r="K5" s="640"/>
      <c r="L5" s="7"/>
      <c r="M5" s="599" t="s">
        <v>715</v>
      </c>
      <c r="N5" s="600">
        <v>2.4</v>
      </c>
      <c r="O5" s="140" t="s">
        <v>469</v>
      </c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</row>
    <row r="6" spans="1:81">
      <c r="A6" s="11"/>
      <c r="B6" s="646"/>
      <c r="C6" s="625" t="s">
        <v>731</v>
      </c>
      <c r="D6" s="650"/>
      <c r="E6" s="651"/>
      <c r="F6" s="646"/>
      <c r="G6" s="646"/>
      <c r="H6" s="652"/>
      <c r="I6" s="19"/>
      <c r="J6" s="641"/>
      <c r="K6" s="642"/>
      <c r="L6" s="7"/>
      <c r="M6" s="599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</row>
    <row r="7" spans="1:81">
      <c r="A7" s="14"/>
      <c r="B7" s="647"/>
      <c r="C7" s="625"/>
      <c r="D7" s="141" t="s">
        <v>23</v>
      </c>
      <c r="E7" s="142" t="s">
        <v>24</v>
      </c>
      <c r="F7" s="647"/>
      <c r="G7" s="647"/>
      <c r="H7" s="653"/>
      <c r="I7" s="144"/>
      <c r="J7" s="643"/>
      <c r="K7" s="644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</row>
    <row r="8" spans="1:81">
      <c r="A8" s="16" t="s">
        <v>1</v>
      </c>
      <c r="B8" s="628">
        <v>11.25</v>
      </c>
      <c r="C8" s="595">
        <v>3</v>
      </c>
      <c r="D8" s="597">
        <f>B8*C8-F8-G8-E8</f>
        <v>15.75</v>
      </c>
      <c r="E8" s="629">
        <v>0</v>
      </c>
      <c r="F8" s="630">
        <f>0*0</f>
        <v>0</v>
      </c>
      <c r="G8" s="631">
        <v>18</v>
      </c>
      <c r="H8" s="146">
        <f t="shared" ref="H8:H15" si="0">+SUM(D8:G8)</f>
        <v>33.75</v>
      </c>
      <c r="I8" s="147" t="s">
        <v>27</v>
      </c>
      <c r="J8" s="51">
        <f t="shared" ref="J8:J15" si="1">+H8/$H$19*100</f>
        <v>14.372404982433729</v>
      </c>
      <c r="K8" s="148" t="s">
        <v>11</v>
      </c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</row>
    <row r="9" spans="1:81">
      <c r="A9" s="16" t="s">
        <v>350</v>
      </c>
      <c r="B9" s="632"/>
      <c r="C9" s="596"/>
      <c r="D9" s="598">
        <f t="shared" ref="D9:D15" si="2">B9*C9-F9-G9-E9</f>
        <v>0</v>
      </c>
      <c r="E9" s="633">
        <v>0</v>
      </c>
      <c r="F9" s="633">
        <f t="shared" ref="F9:F15" si="3">0*0</f>
        <v>0</v>
      </c>
      <c r="G9" s="634">
        <v>0</v>
      </c>
      <c r="H9" s="146">
        <f t="shared" si="0"/>
        <v>0</v>
      </c>
      <c r="I9" s="147" t="s">
        <v>27</v>
      </c>
      <c r="J9" s="51">
        <f t="shared" si="1"/>
        <v>0</v>
      </c>
      <c r="K9" s="148" t="s">
        <v>11</v>
      </c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</row>
    <row r="10" spans="1:81">
      <c r="A10" s="16" t="s">
        <v>3</v>
      </c>
      <c r="B10" s="632">
        <v>9.6999999999999993</v>
      </c>
      <c r="C10" s="596">
        <v>3</v>
      </c>
      <c r="D10" s="598">
        <f t="shared" si="2"/>
        <v>9.3299999999999983</v>
      </c>
      <c r="E10" s="633">
        <v>15</v>
      </c>
      <c r="F10" s="633">
        <f>0.9*2.1</f>
        <v>1.8900000000000001</v>
      </c>
      <c r="G10" s="634">
        <f>1.2*2.4</f>
        <v>2.88</v>
      </c>
      <c r="H10" s="146">
        <f t="shared" si="0"/>
        <v>29.099999999999998</v>
      </c>
      <c r="I10" s="147" t="s">
        <v>27</v>
      </c>
      <c r="J10" s="51">
        <f t="shared" si="1"/>
        <v>12.392206962631747</v>
      </c>
      <c r="K10" s="148" t="s">
        <v>11</v>
      </c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</row>
    <row r="11" spans="1:81">
      <c r="A11" s="16" t="s">
        <v>351</v>
      </c>
      <c r="B11" s="632"/>
      <c r="C11" s="596"/>
      <c r="D11" s="598">
        <f t="shared" si="2"/>
        <v>0</v>
      </c>
      <c r="E11" s="633">
        <v>0</v>
      </c>
      <c r="F11" s="633">
        <f t="shared" si="3"/>
        <v>0</v>
      </c>
      <c r="G11" s="634">
        <v>0</v>
      </c>
      <c r="H11" s="146">
        <f t="shared" si="0"/>
        <v>0</v>
      </c>
      <c r="I11" s="147" t="s">
        <v>27</v>
      </c>
      <c r="J11" s="51">
        <f t="shared" si="1"/>
        <v>0</v>
      </c>
      <c r="K11" s="148" t="s">
        <v>11</v>
      </c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</row>
    <row r="12" spans="1:81">
      <c r="A12" s="16" t="s">
        <v>5</v>
      </c>
      <c r="B12" s="632">
        <v>11.25</v>
      </c>
      <c r="C12" s="596">
        <v>3</v>
      </c>
      <c r="D12" s="598">
        <f t="shared" si="2"/>
        <v>27.89</v>
      </c>
      <c r="E12" s="633">
        <v>0</v>
      </c>
      <c r="F12" s="633">
        <v>2.5</v>
      </c>
      <c r="G12" s="634">
        <f>(1.2*2.4)+((0.4*0.6)*2)</f>
        <v>3.36</v>
      </c>
      <c r="H12" s="146">
        <f t="shared" si="0"/>
        <v>33.75</v>
      </c>
      <c r="I12" s="147" t="s">
        <v>27</v>
      </c>
      <c r="J12" s="51">
        <f t="shared" si="1"/>
        <v>14.372404982433729</v>
      </c>
      <c r="K12" s="148" t="s">
        <v>11</v>
      </c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7"/>
      <c r="BR12" s="7"/>
      <c r="BS12" s="7"/>
      <c r="BT12" s="7"/>
      <c r="BU12" s="7"/>
      <c r="BV12" s="7"/>
      <c r="BW12" s="7"/>
      <c r="BX12" s="7"/>
      <c r="BY12" s="7"/>
      <c r="BZ12" s="7"/>
      <c r="CA12" s="7"/>
      <c r="CB12" s="7"/>
      <c r="CC12" s="7"/>
    </row>
    <row r="13" spans="1:81">
      <c r="A13" s="16" t="s">
        <v>352</v>
      </c>
      <c r="B13" s="632"/>
      <c r="C13" s="596"/>
      <c r="D13" s="598">
        <f t="shared" si="2"/>
        <v>0</v>
      </c>
      <c r="E13" s="633">
        <v>0</v>
      </c>
      <c r="F13" s="633">
        <f t="shared" si="3"/>
        <v>0</v>
      </c>
      <c r="G13" s="634">
        <v>0</v>
      </c>
      <c r="H13" s="146">
        <f t="shared" si="0"/>
        <v>0</v>
      </c>
      <c r="I13" s="147" t="s">
        <v>27</v>
      </c>
      <c r="J13" s="51">
        <f t="shared" si="1"/>
        <v>0</v>
      </c>
      <c r="K13" s="148" t="s">
        <v>11</v>
      </c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  <c r="BV13" s="7"/>
      <c r="BW13" s="7"/>
      <c r="BX13" s="7"/>
      <c r="BY13" s="7"/>
      <c r="BZ13" s="7"/>
      <c r="CA13" s="7"/>
      <c r="CB13" s="7"/>
      <c r="CC13" s="7"/>
    </row>
    <row r="14" spans="1:81">
      <c r="A14" s="16" t="s">
        <v>4</v>
      </c>
      <c r="B14" s="632">
        <v>9.6999999999999993</v>
      </c>
      <c r="C14" s="596">
        <v>3</v>
      </c>
      <c r="D14" s="598">
        <f t="shared" si="2"/>
        <v>29.099999999999998</v>
      </c>
      <c r="E14" s="633">
        <v>0</v>
      </c>
      <c r="F14" s="633">
        <f t="shared" si="3"/>
        <v>0</v>
      </c>
      <c r="G14" s="634">
        <v>0</v>
      </c>
      <c r="H14" s="146">
        <f>+SUM(D14:G14)</f>
        <v>29.099999999999998</v>
      </c>
      <c r="I14" s="147" t="s">
        <v>27</v>
      </c>
      <c r="J14" s="51">
        <f t="shared" si="1"/>
        <v>12.392206962631747</v>
      </c>
      <c r="K14" s="148" t="s">
        <v>11</v>
      </c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</row>
    <row r="15" spans="1:81">
      <c r="A15" s="16" t="s">
        <v>353</v>
      </c>
      <c r="B15" s="635"/>
      <c r="C15" s="626"/>
      <c r="D15" s="627">
        <f t="shared" si="2"/>
        <v>0</v>
      </c>
      <c r="E15" s="636">
        <v>0</v>
      </c>
      <c r="F15" s="636">
        <f t="shared" si="3"/>
        <v>0</v>
      </c>
      <c r="G15" s="637">
        <v>0</v>
      </c>
      <c r="H15" s="146">
        <f t="shared" si="0"/>
        <v>0</v>
      </c>
      <c r="I15" s="147" t="s">
        <v>27</v>
      </c>
      <c r="J15" s="51">
        <f t="shared" si="1"/>
        <v>0</v>
      </c>
      <c r="K15" s="148" t="s">
        <v>11</v>
      </c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</row>
    <row r="16" spans="1:81">
      <c r="A16" s="16" t="s">
        <v>79</v>
      </c>
      <c r="B16" s="44"/>
      <c r="C16" s="44"/>
      <c r="D16" s="52">
        <f>SUM(D8:D15)</f>
        <v>82.07</v>
      </c>
      <c r="E16" s="52">
        <f>SUM(E8:E15)</f>
        <v>15</v>
      </c>
      <c r="F16" s="52">
        <f>SUM(F8:F15)</f>
        <v>4.3900000000000006</v>
      </c>
      <c r="G16" s="52">
        <f>SUM(G8:G15)</f>
        <v>24.24</v>
      </c>
      <c r="H16" s="52">
        <f>SUM(H8:H15)</f>
        <v>125.69999999999999</v>
      </c>
      <c r="I16" s="147" t="s">
        <v>27</v>
      </c>
      <c r="J16" s="51" t="s">
        <v>2</v>
      </c>
      <c r="K16" s="148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</row>
    <row r="17" spans="1:81">
      <c r="A17" s="11"/>
      <c r="B17" s="17"/>
      <c r="C17" s="17"/>
      <c r="D17" s="52"/>
      <c r="E17" s="52"/>
      <c r="F17" s="52"/>
      <c r="G17" s="52"/>
      <c r="H17" s="52"/>
      <c r="I17" s="149"/>
      <c r="J17" s="51"/>
      <c r="K17" s="148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</row>
    <row r="18" spans="1:81">
      <c r="A18" s="16" t="s">
        <v>6</v>
      </c>
      <c r="B18" s="44"/>
      <c r="C18" s="44"/>
      <c r="D18" s="601">
        <f>11.25*9.7</f>
        <v>109.12499999999999</v>
      </c>
      <c r="E18" s="145">
        <v>0</v>
      </c>
      <c r="F18" s="52" t="s">
        <v>27</v>
      </c>
      <c r="G18" s="52"/>
      <c r="H18" s="146">
        <f>+SUM(D18:G18)</f>
        <v>109.12499999999999</v>
      </c>
      <c r="I18" s="149" t="s">
        <v>27</v>
      </c>
      <c r="J18" s="51">
        <f>+H18/$H$19*100</f>
        <v>46.47077610986905</v>
      </c>
      <c r="K18" s="148" t="s">
        <v>11</v>
      </c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</row>
    <row r="19" spans="1:81">
      <c r="A19" s="21" t="s">
        <v>78</v>
      </c>
      <c r="B19" s="593"/>
      <c r="C19" s="593"/>
      <c r="D19" s="52" t="s">
        <v>2</v>
      </c>
      <c r="E19" s="52" t="s">
        <v>2</v>
      </c>
      <c r="F19" s="52" t="s">
        <v>2</v>
      </c>
      <c r="G19" s="52" t="s">
        <v>2</v>
      </c>
      <c r="H19" s="146">
        <f>+H18+H16</f>
        <v>234.82499999999999</v>
      </c>
      <c r="I19" s="149" t="s">
        <v>27</v>
      </c>
      <c r="J19" s="51">
        <f>SUM(J8:J18)</f>
        <v>100</v>
      </c>
      <c r="K19" s="148" t="s">
        <v>11</v>
      </c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</row>
    <row r="20" spans="1:81">
      <c r="A20" s="16"/>
      <c r="B20" s="44"/>
      <c r="C20" s="44"/>
      <c r="D20" s="20"/>
      <c r="E20" s="20"/>
      <c r="F20" s="20"/>
      <c r="G20" s="20"/>
      <c r="H20" s="22"/>
      <c r="I20" s="17"/>
      <c r="J20" s="18"/>
      <c r="K20" s="19"/>
      <c r="L20" s="7"/>
      <c r="M20" s="7" t="s">
        <v>2</v>
      </c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</row>
    <row r="21" spans="1:81">
      <c r="A21" s="16" t="s">
        <v>74</v>
      </c>
      <c r="B21" s="44"/>
      <c r="C21" s="44"/>
      <c r="D21" s="601">
        <f>11.25*2+9.7*2</f>
        <v>41.9</v>
      </c>
      <c r="E21" s="20" t="s">
        <v>121</v>
      </c>
      <c r="F21" s="20"/>
      <c r="G21" s="20"/>
      <c r="H21" s="20"/>
      <c r="I21" s="17"/>
      <c r="J21" s="17"/>
      <c r="K21" s="19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</row>
    <row r="22" spans="1:81" ht="14.25">
      <c r="A22" s="16" t="s">
        <v>25</v>
      </c>
      <c r="B22" s="44"/>
      <c r="C22" s="44"/>
      <c r="D22" s="601">
        <f>+D23*N5</f>
        <v>261.89999999999998</v>
      </c>
      <c r="E22" s="20" t="s">
        <v>122</v>
      </c>
      <c r="F22" s="20" t="s">
        <v>2</v>
      </c>
      <c r="G22" s="20" t="s">
        <v>2</v>
      </c>
      <c r="H22" s="22">
        <f>+SUM(D22:G22)</f>
        <v>261.89999999999998</v>
      </c>
      <c r="I22" s="20" t="s">
        <v>122</v>
      </c>
      <c r="J22" s="17"/>
      <c r="K22" s="19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</row>
    <row r="23" spans="1:81">
      <c r="A23" s="23" t="s">
        <v>729</v>
      </c>
      <c r="B23" s="44"/>
      <c r="C23" s="44"/>
      <c r="D23" s="602">
        <f>11.25*9.7</f>
        <v>109.12499999999999</v>
      </c>
      <c r="E23" s="24" t="s">
        <v>27</v>
      </c>
      <c r="F23" s="24"/>
      <c r="G23" s="24"/>
      <c r="H23" s="150">
        <f>+SUM(D23:G23)</f>
        <v>109.12499999999999</v>
      </c>
      <c r="I23" s="25" t="s">
        <v>27</v>
      </c>
      <c r="J23" s="25"/>
      <c r="K23" s="15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</row>
    <row r="24" spans="1:81" ht="13.5" thickBot="1">
      <c r="A24" s="7"/>
      <c r="B24" s="7"/>
      <c r="C24" s="7"/>
      <c r="D24" s="7"/>
      <c r="E24" s="7"/>
      <c r="F24" s="7"/>
      <c r="G24" s="7"/>
      <c r="H24" s="44"/>
      <c r="I24" s="7"/>
      <c r="J24" s="7" t="s">
        <v>2</v>
      </c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</row>
    <row r="25" spans="1:81" ht="13.5" thickBot="1">
      <c r="A25" s="39" t="s">
        <v>354</v>
      </c>
      <c r="B25" s="173"/>
      <c r="C25" s="173"/>
      <c r="D25" s="151">
        <f>+H52</f>
        <v>2.1518900343642615</v>
      </c>
      <c r="E25" s="152" t="s">
        <v>355</v>
      </c>
      <c r="F25" s="7"/>
      <c r="G25" s="140" t="s">
        <v>398</v>
      </c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</row>
    <row r="26" spans="1:81">
      <c r="A26" s="140" t="s">
        <v>6</v>
      </c>
      <c r="B26" s="140"/>
      <c r="C26" s="140"/>
      <c r="D26" s="64">
        <f>+H50</f>
        <v>1</v>
      </c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</row>
    <row r="27" spans="1:81">
      <c r="A27" s="140" t="s">
        <v>140</v>
      </c>
      <c r="B27" s="140"/>
      <c r="C27" s="140"/>
      <c r="D27" s="64">
        <f>+H48</f>
        <v>1.1518900343642613</v>
      </c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</row>
    <row r="28" spans="1:81" ht="13.5" thickBot="1">
      <c r="A28" s="140" t="s">
        <v>0</v>
      </c>
      <c r="B28" s="140"/>
      <c r="C28" s="140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</row>
    <row r="29" spans="1:81" ht="15" thickBot="1">
      <c r="A29" s="39" t="s">
        <v>356</v>
      </c>
      <c r="B29" s="173"/>
      <c r="C29" s="173"/>
      <c r="D29" s="151">
        <f>+H19/D22</f>
        <v>0.89662084765177552</v>
      </c>
      <c r="E29" s="153" t="s">
        <v>357</v>
      </c>
      <c r="F29" s="7"/>
      <c r="G29" s="140" t="s">
        <v>592</v>
      </c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</row>
    <row r="30" spans="1:81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</row>
    <row r="31" spans="1:81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</row>
    <row r="32" spans="1:81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</row>
    <row r="33" spans="1:81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</row>
    <row r="34" spans="1:81" hidden="1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</row>
    <row r="35" spans="1:81" hidden="1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</row>
    <row r="36" spans="1:81" ht="13.5" hidden="1" thickBo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</row>
    <row r="37" spans="1:81" hidden="1">
      <c r="A37" s="26" t="s">
        <v>90</v>
      </c>
      <c r="B37" s="594"/>
      <c r="C37" s="594"/>
      <c r="D37" s="27"/>
      <c r="E37" s="27"/>
      <c r="F37" s="27"/>
      <c r="G37" s="27"/>
      <c r="H37" s="27"/>
      <c r="I37" s="27"/>
      <c r="J37" s="28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</row>
    <row r="38" spans="1:81" hidden="1">
      <c r="A38" s="29"/>
      <c r="B38" s="17"/>
      <c r="C38" s="17"/>
      <c r="D38" s="8" t="s">
        <v>92</v>
      </c>
      <c r="E38" s="30"/>
      <c r="F38" s="13"/>
      <c r="G38" s="13"/>
      <c r="H38" s="13"/>
      <c r="I38" s="12"/>
      <c r="J38" s="10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</row>
    <row r="39" spans="1:81" ht="13.5" hidden="1" thickBot="1">
      <c r="A39" s="31"/>
      <c r="B39" s="17"/>
      <c r="C39" s="17"/>
      <c r="D39" s="143" t="s">
        <v>91</v>
      </c>
      <c r="E39" s="33" t="s">
        <v>24</v>
      </c>
      <c r="F39" s="154" t="s">
        <v>89</v>
      </c>
      <c r="G39" s="154" t="s">
        <v>22</v>
      </c>
      <c r="H39" s="154" t="s">
        <v>0</v>
      </c>
      <c r="I39" s="123"/>
      <c r="J39" s="33" t="s">
        <v>11</v>
      </c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  <c r="BG39" s="7"/>
      <c r="BH39" s="7"/>
      <c r="BI39" s="7"/>
      <c r="BJ39" s="7"/>
      <c r="BK39" s="7"/>
      <c r="BL39" s="7"/>
      <c r="BM39" s="7"/>
      <c r="BN39" s="7"/>
      <c r="BO39" s="7"/>
      <c r="BP39" s="7"/>
      <c r="BQ39" s="7"/>
      <c r="BR39" s="7"/>
      <c r="BS39" s="7"/>
      <c r="BT39" s="7"/>
      <c r="BU39" s="7"/>
      <c r="BV39" s="7"/>
      <c r="BW39" s="7"/>
      <c r="BX39" s="7"/>
      <c r="BY39" s="7"/>
      <c r="BZ39" s="7"/>
      <c r="CA39" s="7"/>
      <c r="CB39" s="7"/>
      <c r="CC39" s="7"/>
    </row>
    <row r="40" spans="1:81" hidden="1">
      <c r="A40" s="16" t="s">
        <v>1</v>
      </c>
      <c r="B40" s="44"/>
      <c r="C40" s="44"/>
      <c r="D40" s="52">
        <f t="shared" ref="D40:H47" si="4">+D8/$H$23</f>
        <v>0.14432989690721651</v>
      </c>
      <c r="E40" s="52">
        <f t="shared" si="4"/>
        <v>0</v>
      </c>
      <c r="F40" s="52">
        <f t="shared" si="4"/>
        <v>0</v>
      </c>
      <c r="G40" s="52">
        <f t="shared" si="4"/>
        <v>0.16494845360824745</v>
      </c>
      <c r="H40" s="155">
        <f t="shared" si="4"/>
        <v>0.30927835051546398</v>
      </c>
      <c r="I40" s="149"/>
      <c r="J40" s="156">
        <f>+H40/$H$52*100</f>
        <v>14.372404982433729</v>
      </c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  <c r="BG40" s="7"/>
      <c r="BH40" s="7"/>
      <c r="BI40" s="7"/>
      <c r="BJ40" s="7"/>
      <c r="BK40" s="7"/>
      <c r="BL40" s="7"/>
      <c r="BM40" s="7"/>
      <c r="BN40" s="7"/>
      <c r="BO40" s="7"/>
      <c r="BP40" s="7"/>
      <c r="BQ40" s="7"/>
      <c r="BR40" s="7"/>
      <c r="BS40" s="7"/>
      <c r="BT40" s="7"/>
      <c r="BU40" s="7"/>
      <c r="BV40" s="7"/>
      <c r="BW40" s="7"/>
      <c r="BX40" s="7"/>
      <c r="BY40" s="7"/>
      <c r="BZ40" s="7"/>
      <c r="CA40" s="7"/>
      <c r="CB40" s="7"/>
      <c r="CC40" s="7"/>
    </row>
    <row r="41" spans="1:81" hidden="1">
      <c r="A41" s="16" t="s">
        <v>350</v>
      </c>
      <c r="B41" s="44"/>
      <c r="C41" s="44"/>
      <c r="D41" s="52">
        <f t="shared" si="4"/>
        <v>0</v>
      </c>
      <c r="E41" s="52">
        <f t="shared" si="4"/>
        <v>0</v>
      </c>
      <c r="F41" s="52">
        <f t="shared" si="4"/>
        <v>0</v>
      </c>
      <c r="G41" s="52">
        <f t="shared" si="4"/>
        <v>0</v>
      </c>
      <c r="H41" s="155">
        <f t="shared" si="4"/>
        <v>0</v>
      </c>
      <c r="I41" s="149"/>
      <c r="J41" s="156">
        <f t="shared" ref="J41:J47" si="5">+H41/$H$52*100</f>
        <v>0</v>
      </c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  <c r="BG41" s="7"/>
      <c r="BH41" s="7"/>
      <c r="BI41" s="7"/>
      <c r="BJ41" s="7"/>
      <c r="BK41" s="7"/>
      <c r="BL41" s="7"/>
      <c r="BM41" s="7"/>
      <c r="BN41" s="7"/>
      <c r="BO41" s="7"/>
      <c r="BP41" s="7"/>
      <c r="BQ41" s="7"/>
      <c r="BR41" s="7"/>
      <c r="BS41" s="7"/>
      <c r="BT41" s="7"/>
      <c r="BU41" s="7"/>
      <c r="BV41" s="7"/>
      <c r="BW41" s="7"/>
      <c r="BX41" s="7"/>
      <c r="BY41" s="7"/>
      <c r="BZ41" s="7"/>
      <c r="CA41" s="7"/>
      <c r="CB41" s="7"/>
      <c r="CC41" s="7"/>
    </row>
    <row r="42" spans="1:81" hidden="1">
      <c r="A42" s="16" t="s">
        <v>3</v>
      </c>
      <c r="B42" s="44"/>
      <c r="C42" s="44"/>
      <c r="D42" s="52">
        <f t="shared" si="4"/>
        <v>8.5498281786941577E-2</v>
      </c>
      <c r="E42" s="52">
        <f t="shared" si="4"/>
        <v>0.13745704467353953</v>
      </c>
      <c r="F42" s="52">
        <f t="shared" si="4"/>
        <v>1.7319587628865984E-2</v>
      </c>
      <c r="G42" s="52">
        <f t="shared" si="4"/>
        <v>2.6391752577319589E-2</v>
      </c>
      <c r="H42" s="155">
        <f t="shared" si="4"/>
        <v>0.26666666666666666</v>
      </c>
      <c r="I42" s="149"/>
      <c r="J42" s="156">
        <f t="shared" si="5"/>
        <v>12.392206962631745</v>
      </c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  <c r="BG42" s="7"/>
      <c r="BH42" s="7"/>
      <c r="BI42" s="7"/>
      <c r="BJ42" s="7"/>
      <c r="BK42" s="7"/>
      <c r="BL42" s="7"/>
      <c r="BM42" s="7"/>
      <c r="BN42" s="7"/>
      <c r="BO42" s="7"/>
      <c r="BP42" s="7"/>
      <c r="BQ42" s="7"/>
      <c r="BR42" s="7"/>
      <c r="BS42" s="7"/>
      <c r="BT42" s="7"/>
      <c r="BU42" s="7"/>
      <c r="BV42" s="7"/>
      <c r="BW42" s="7"/>
      <c r="BX42" s="7"/>
      <c r="BY42" s="7"/>
      <c r="BZ42" s="7"/>
      <c r="CA42" s="7"/>
      <c r="CB42" s="7"/>
      <c r="CC42" s="7"/>
    </row>
    <row r="43" spans="1:81" hidden="1">
      <c r="A43" s="16" t="s">
        <v>351</v>
      </c>
      <c r="B43" s="44"/>
      <c r="C43" s="44"/>
      <c r="D43" s="52">
        <f t="shared" si="4"/>
        <v>0</v>
      </c>
      <c r="E43" s="52">
        <f t="shared" si="4"/>
        <v>0</v>
      </c>
      <c r="F43" s="52">
        <f t="shared" si="4"/>
        <v>0</v>
      </c>
      <c r="G43" s="52">
        <f t="shared" si="4"/>
        <v>0</v>
      </c>
      <c r="H43" s="155">
        <f t="shared" si="4"/>
        <v>0</v>
      </c>
      <c r="I43" s="149"/>
      <c r="J43" s="156">
        <f t="shared" si="5"/>
        <v>0</v>
      </c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  <c r="BG43" s="7"/>
      <c r="BH43" s="7"/>
      <c r="BI43" s="7"/>
      <c r="BJ43" s="7"/>
      <c r="BK43" s="7"/>
      <c r="BL43" s="7"/>
      <c r="BM43" s="7"/>
      <c r="BN43" s="7"/>
      <c r="BO43" s="7"/>
      <c r="BP43" s="7"/>
      <c r="BQ43" s="7"/>
      <c r="BR43" s="7"/>
      <c r="BS43" s="7"/>
      <c r="BT43" s="7"/>
      <c r="BU43" s="7"/>
      <c r="BV43" s="7"/>
      <c r="BW43" s="7"/>
      <c r="BX43" s="7"/>
      <c r="BY43" s="7"/>
      <c r="BZ43" s="7"/>
      <c r="CA43" s="7"/>
      <c r="CB43" s="7"/>
      <c r="CC43" s="7"/>
    </row>
    <row r="44" spans="1:81" hidden="1">
      <c r="A44" s="16" t="s">
        <v>5</v>
      </c>
      <c r="B44" s="44"/>
      <c r="C44" s="44"/>
      <c r="D44" s="52">
        <f t="shared" si="4"/>
        <v>0.25557846506300119</v>
      </c>
      <c r="E44" s="52">
        <f t="shared" si="4"/>
        <v>0</v>
      </c>
      <c r="F44" s="52">
        <f t="shared" si="4"/>
        <v>2.2909507445589922E-2</v>
      </c>
      <c r="G44" s="52">
        <f t="shared" si="4"/>
        <v>3.0790378006872857E-2</v>
      </c>
      <c r="H44" s="155">
        <f t="shared" si="4"/>
        <v>0.30927835051546398</v>
      </c>
      <c r="I44" s="149"/>
      <c r="J44" s="156">
        <f t="shared" si="5"/>
        <v>14.372404982433729</v>
      </c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  <c r="BG44" s="7"/>
      <c r="BH44" s="7"/>
      <c r="BI44" s="7"/>
      <c r="BJ44" s="7"/>
      <c r="BK44" s="7"/>
      <c r="BL44" s="7"/>
      <c r="BM44" s="7"/>
      <c r="BN44" s="7"/>
      <c r="BO44" s="7"/>
      <c r="BP44" s="7"/>
      <c r="BQ44" s="7"/>
      <c r="BR44" s="7"/>
      <c r="BS44" s="7"/>
      <c r="BT44" s="7"/>
      <c r="BU44" s="7"/>
      <c r="BV44" s="7"/>
      <c r="BW44" s="7"/>
      <c r="BX44" s="7"/>
      <c r="BY44" s="7"/>
      <c r="BZ44" s="7"/>
      <c r="CA44" s="7"/>
      <c r="CB44" s="7"/>
      <c r="CC44" s="7"/>
    </row>
    <row r="45" spans="1:81" hidden="1">
      <c r="A45" s="16" t="s">
        <v>352</v>
      </c>
      <c r="B45" s="44"/>
      <c r="C45" s="44"/>
      <c r="D45" s="52">
        <f t="shared" si="4"/>
        <v>0</v>
      </c>
      <c r="E45" s="52">
        <f t="shared" si="4"/>
        <v>0</v>
      </c>
      <c r="F45" s="52">
        <f t="shared" si="4"/>
        <v>0</v>
      </c>
      <c r="G45" s="52">
        <f t="shared" si="4"/>
        <v>0</v>
      </c>
      <c r="H45" s="155">
        <f t="shared" si="4"/>
        <v>0</v>
      </c>
      <c r="I45" s="149"/>
      <c r="J45" s="156">
        <f t="shared" si="5"/>
        <v>0</v>
      </c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  <c r="BG45" s="7"/>
      <c r="BH45" s="7"/>
      <c r="BI45" s="7"/>
      <c r="BJ45" s="7"/>
      <c r="BK45" s="7"/>
      <c r="BL45" s="7"/>
      <c r="BM45" s="7"/>
      <c r="BN45" s="7"/>
      <c r="BO45" s="7"/>
      <c r="BP45" s="7"/>
      <c r="BQ45" s="7"/>
      <c r="BR45" s="7"/>
      <c r="BS45" s="7"/>
      <c r="BT45" s="7"/>
      <c r="BU45" s="7"/>
      <c r="BV45" s="7"/>
      <c r="BW45" s="7"/>
      <c r="BX45" s="7"/>
      <c r="BY45" s="7"/>
      <c r="BZ45" s="7"/>
      <c r="CA45" s="7"/>
      <c r="CB45" s="7"/>
      <c r="CC45" s="7"/>
    </row>
    <row r="46" spans="1:81" hidden="1">
      <c r="A46" s="16" t="s">
        <v>4</v>
      </c>
      <c r="B46" s="44"/>
      <c r="C46" s="44"/>
      <c r="D46" s="52">
        <f t="shared" si="4"/>
        <v>0.26666666666666666</v>
      </c>
      <c r="E46" s="52">
        <f t="shared" si="4"/>
        <v>0</v>
      </c>
      <c r="F46" s="52">
        <f t="shared" si="4"/>
        <v>0</v>
      </c>
      <c r="G46" s="52">
        <f t="shared" si="4"/>
        <v>0</v>
      </c>
      <c r="H46" s="155">
        <f t="shared" si="4"/>
        <v>0.26666666666666666</v>
      </c>
      <c r="I46" s="149"/>
      <c r="J46" s="156">
        <f t="shared" si="5"/>
        <v>12.392206962631745</v>
      </c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  <c r="BG46" s="7"/>
      <c r="BH46" s="7"/>
      <c r="BI46" s="7"/>
      <c r="BJ46" s="7"/>
      <c r="BK46" s="7"/>
      <c r="BL46" s="7"/>
      <c r="BM46" s="7"/>
      <c r="BN46" s="7"/>
      <c r="BO46" s="7"/>
      <c r="BP46" s="7"/>
      <c r="BQ46" s="7"/>
      <c r="BR46" s="7"/>
      <c r="BS46" s="7"/>
      <c r="BT46" s="7"/>
      <c r="BU46" s="7"/>
      <c r="BV46" s="7"/>
      <c r="BW46" s="7"/>
      <c r="BX46" s="7"/>
      <c r="BY46" s="7"/>
      <c r="BZ46" s="7"/>
      <c r="CA46" s="7"/>
      <c r="CB46" s="7"/>
      <c r="CC46" s="7"/>
    </row>
    <row r="47" spans="1:81" hidden="1">
      <c r="A47" s="16" t="s">
        <v>353</v>
      </c>
      <c r="B47" s="44"/>
      <c r="C47" s="44"/>
      <c r="D47" s="52">
        <f t="shared" si="4"/>
        <v>0</v>
      </c>
      <c r="E47" s="52">
        <f t="shared" si="4"/>
        <v>0</v>
      </c>
      <c r="F47" s="52">
        <f t="shared" si="4"/>
        <v>0</v>
      </c>
      <c r="G47" s="52">
        <f t="shared" si="4"/>
        <v>0</v>
      </c>
      <c r="H47" s="155">
        <f t="shared" si="4"/>
        <v>0</v>
      </c>
      <c r="I47" s="149"/>
      <c r="J47" s="156">
        <f t="shared" si="5"/>
        <v>0</v>
      </c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  <c r="BG47" s="7"/>
      <c r="BH47" s="7"/>
      <c r="BI47" s="7"/>
      <c r="BJ47" s="7"/>
      <c r="BK47" s="7"/>
      <c r="BL47" s="7"/>
      <c r="BM47" s="7"/>
      <c r="BN47" s="7"/>
      <c r="BO47" s="7"/>
      <c r="BP47" s="7"/>
      <c r="BQ47" s="7"/>
      <c r="BR47" s="7"/>
      <c r="BS47" s="7"/>
      <c r="BT47" s="7"/>
      <c r="BU47" s="7"/>
      <c r="BV47" s="7"/>
      <c r="BW47" s="7"/>
      <c r="BX47" s="7"/>
      <c r="BY47" s="7"/>
      <c r="BZ47" s="7"/>
      <c r="CA47" s="7"/>
      <c r="CB47" s="7"/>
      <c r="CC47" s="7"/>
    </row>
    <row r="48" spans="1:81" hidden="1">
      <c r="A48" s="16" t="s">
        <v>93</v>
      </c>
      <c r="B48" s="44"/>
      <c r="C48" s="44"/>
      <c r="D48" s="52">
        <f>+D16/$H$23</f>
        <v>0.75207331042382597</v>
      </c>
      <c r="E48" s="52">
        <f>+E16/$H$23</f>
        <v>0.13745704467353953</v>
      </c>
      <c r="F48" s="52">
        <f>+F16/$H$23</f>
        <v>4.0229095074455913E-2</v>
      </c>
      <c r="G48" s="52">
        <f>+G16/$H$23</f>
        <v>0.22213058419243989</v>
      </c>
      <c r="H48" s="157">
        <f>SUM(H40:H47)</f>
        <v>1.1518900343642613</v>
      </c>
      <c r="I48" s="158" t="s">
        <v>2</v>
      </c>
      <c r="J48" s="156">
        <f>+H48/$H$52*100</f>
        <v>53.52922389013095</v>
      </c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  <c r="BG48" s="7"/>
      <c r="BH48" s="7"/>
      <c r="BI48" s="7"/>
      <c r="BJ48" s="7"/>
      <c r="BK48" s="7"/>
      <c r="BL48" s="7"/>
      <c r="BM48" s="7"/>
      <c r="BN48" s="7"/>
      <c r="BO48" s="7"/>
      <c r="BP48" s="7"/>
      <c r="BQ48" s="7"/>
      <c r="BR48" s="7"/>
      <c r="BS48" s="7"/>
      <c r="BT48" s="7"/>
      <c r="BU48" s="7"/>
      <c r="BV48" s="7"/>
      <c r="BW48" s="7"/>
      <c r="BX48" s="7"/>
      <c r="BY48" s="7"/>
      <c r="BZ48" s="7"/>
      <c r="CA48" s="7"/>
      <c r="CB48" s="7"/>
      <c r="CC48" s="7"/>
    </row>
    <row r="49" spans="1:81" hidden="1">
      <c r="A49" s="11"/>
      <c r="B49" s="17"/>
      <c r="C49" s="17"/>
      <c r="D49" s="52"/>
      <c r="E49" s="52"/>
      <c r="F49" s="52"/>
      <c r="G49" s="52"/>
      <c r="H49" s="159"/>
      <c r="I49" s="158"/>
      <c r="J49" s="156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  <c r="BG49" s="7"/>
      <c r="BH49" s="7"/>
      <c r="BI49" s="7"/>
      <c r="BJ49" s="7"/>
      <c r="BK49" s="7"/>
      <c r="BL49" s="7"/>
      <c r="BM49" s="7"/>
      <c r="BN49" s="7"/>
      <c r="BO49" s="7"/>
      <c r="BP49" s="7"/>
      <c r="BQ49" s="7"/>
      <c r="BR49" s="7"/>
      <c r="BS49" s="7"/>
      <c r="BT49" s="7"/>
      <c r="BU49" s="7"/>
      <c r="BV49" s="7"/>
      <c r="BW49" s="7"/>
      <c r="BX49" s="7"/>
      <c r="BY49" s="7"/>
      <c r="BZ49" s="7"/>
      <c r="CA49" s="7"/>
      <c r="CB49" s="7"/>
      <c r="CC49" s="7"/>
    </row>
    <row r="50" spans="1:81" hidden="1">
      <c r="A50" s="16" t="s">
        <v>94</v>
      </c>
      <c r="B50" s="44"/>
      <c r="C50" s="44"/>
      <c r="D50" s="52">
        <f>+D18/$H$23</f>
        <v>1</v>
      </c>
      <c r="E50" s="52">
        <f>+E18/$H$23</f>
        <v>0</v>
      </c>
      <c r="F50" s="52"/>
      <c r="G50" s="52"/>
      <c r="H50" s="159">
        <f>+H18/$H$23</f>
        <v>1</v>
      </c>
      <c r="I50" s="149"/>
      <c r="J50" s="156">
        <f>+H50/$H$52*100</f>
        <v>46.470776109869043</v>
      </c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</row>
    <row r="51" spans="1:81" hidden="1">
      <c r="A51" s="11"/>
      <c r="B51" s="17"/>
      <c r="C51" s="17"/>
      <c r="D51" s="51" t="s">
        <v>2</v>
      </c>
      <c r="E51" s="51"/>
      <c r="F51" s="51"/>
      <c r="G51" s="51" t="s">
        <v>2</v>
      </c>
      <c r="H51" s="159"/>
      <c r="I51" s="149"/>
      <c r="J51" s="160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</row>
    <row r="52" spans="1:81" hidden="1">
      <c r="A52" s="23" t="s">
        <v>95</v>
      </c>
      <c r="B52" s="250"/>
      <c r="C52" s="250"/>
      <c r="D52" s="161"/>
      <c r="E52" s="161"/>
      <c r="F52" s="161"/>
      <c r="G52" s="161"/>
      <c r="H52" s="162">
        <f>+H50+H48</f>
        <v>2.1518900343642615</v>
      </c>
      <c r="I52" s="163"/>
      <c r="J52" s="164">
        <f>SUM(J48:J50)</f>
        <v>100</v>
      </c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</row>
    <row r="53" spans="1:81" hidden="1">
      <c r="A53" s="7"/>
      <c r="B53" s="7"/>
      <c r="C53" s="7"/>
      <c r="D53" s="37"/>
      <c r="E53" s="37"/>
      <c r="F53" s="37"/>
      <c r="G53" s="87">
        <f>+H52</f>
        <v>2.1518900343642615</v>
      </c>
      <c r="H53" s="37" t="s">
        <v>180</v>
      </c>
      <c r="I53" s="3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</row>
    <row r="54" spans="1:81" hidden="1">
      <c r="A54" s="6"/>
      <c r="B54" s="6"/>
      <c r="C54" s="6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</row>
    <row r="55" spans="1:81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</row>
    <row r="56" spans="1:81">
      <c r="A56" s="8" t="s">
        <v>80</v>
      </c>
      <c r="B56" s="38"/>
      <c r="C56" s="38"/>
      <c r="D56" s="38"/>
      <c r="E56" s="9"/>
      <c r="F56" s="9"/>
      <c r="G56" s="9"/>
      <c r="H56" s="38"/>
      <c r="I56" s="9"/>
      <c r="J56" s="9"/>
      <c r="K56" s="9"/>
      <c r="L56" s="9"/>
      <c r="M56" s="9"/>
      <c r="N56" s="10"/>
      <c r="O56" s="17"/>
      <c r="P56" s="17"/>
      <c r="Q56" s="7"/>
      <c r="R56" s="7"/>
      <c r="S56" s="7"/>
      <c r="T56" s="7"/>
      <c r="U56" s="7"/>
      <c r="V56" s="7"/>
      <c r="W56" s="7"/>
      <c r="X56" s="7"/>
      <c r="Y56" s="7"/>
      <c r="Z56" s="7"/>
    </row>
    <row r="57" spans="1:81">
      <c r="A57" s="249" t="s">
        <v>399</v>
      </c>
      <c r="B57" s="76"/>
      <c r="C57" s="76"/>
      <c r="D57" s="17"/>
      <c r="E57" s="17"/>
      <c r="F57" s="17"/>
      <c r="G57" s="17"/>
      <c r="H57" s="44"/>
      <c r="I57" s="17"/>
      <c r="J57" s="17" t="s">
        <v>2</v>
      </c>
      <c r="K57" s="17"/>
      <c r="L57" s="17"/>
      <c r="M57" s="17"/>
      <c r="N57" s="19"/>
      <c r="O57" s="17"/>
      <c r="P57" s="17"/>
      <c r="Q57" s="7"/>
      <c r="R57" s="7"/>
      <c r="S57" s="7"/>
      <c r="T57" s="7"/>
      <c r="U57" s="7"/>
      <c r="V57" s="7"/>
      <c r="W57" s="7"/>
      <c r="X57" s="7"/>
      <c r="Y57" s="7"/>
      <c r="Z57" s="7"/>
    </row>
    <row r="58" spans="1:81">
      <c r="A58" s="11"/>
      <c r="B58" s="17"/>
      <c r="C58" s="17"/>
      <c r="D58" s="17"/>
      <c r="E58" s="17"/>
      <c r="F58" s="17"/>
      <c r="G58" s="17"/>
      <c r="H58" s="44"/>
      <c r="I58" s="17"/>
      <c r="J58" s="17"/>
      <c r="K58" s="17"/>
      <c r="L58" s="17"/>
      <c r="M58" s="17"/>
      <c r="N58" s="19"/>
      <c r="O58" s="17"/>
      <c r="P58" s="17"/>
      <c r="Q58" s="7"/>
      <c r="R58" s="7"/>
      <c r="S58" s="7"/>
      <c r="T58" s="7"/>
      <c r="U58" s="7"/>
      <c r="V58" s="7"/>
      <c r="W58" s="7"/>
      <c r="X58" s="7"/>
      <c r="Y58" s="7"/>
      <c r="Z58" s="7"/>
    </row>
    <row r="59" spans="1:81">
      <c r="A59" s="249" t="s">
        <v>400</v>
      </c>
      <c r="B59" s="76"/>
      <c r="C59" s="76"/>
      <c r="D59" s="17"/>
      <c r="E59" s="638">
        <v>3</v>
      </c>
      <c r="F59" s="17"/>
      <c r="G59" s="17"/>
      <c r="H59" s="44"/>
      <c r="I59" s="17"/>
      <c r="J59" s="17" t="s">
        <v>2</v>
      </c>
      <c r="K59" s="17"/>
      <c r="L59" s="17"/>
      <c r="M59" s="17"/>
      <c r="N59" s="19"/>
      <c r="O59" s="17"/>
      <c r="P59" s="17"/>
      <c r="Q59" s="7"/>
      <c r="R59" s="7"/>
      <c r="S59" s="7"/>
      <c r="T59" s="7"/>
      <c r="U59" s="7"/>
      <c r="V59" s="7"/>
      <c r="W59" s="7"/>
      <c r="X59" s="7"/>
      <c r="Y59" s="7"/>
      <c r="Z59" s="7"/>
    </row>
    <row r="60" spans="1:81">
      <c r="A60" s="249" t="s">
        <v>401</v>
      </c>
      <c r="B60" s="76"/>
      <c r="C60" s="76"/>
      <c r="D60" s="17"/>
      <c r="E60" s="638">
        <v>3.5</v>
      </c>
      <c r="F60" s="17"/>
      <c r="G60" s="17"/>
      <c r="H60" s="44"/>
      <c r="I60" s="17"/>
      <c r="J60" s="17"/>
      <c r="K60" s="17"/>
      <c r="L60" s="17"/>
      <c r="M60" s="17"/>
      <c r="N60" s="19"/>
      <c r="O60" s="17"/>
      <c r="P60" s="17"/>
      <c r="Q60" s="7"/>
      <c r="R60" s="7"/>
      <c r="S60" s="7"/>
      <c r="T60" s="7"/>
      <c r="U60" s="7"/>
      <c r="V60" s="7"/>
      <c r="W60" s="7"/>
      <c r="X60" s="7"/>
      <c r="Y60" s="7"/>
      <c r="Z60" s="7"/>
    </row>
    <row r="61" spans="1:81">
      <c r="A61" s="249" t="s">
        <v>402</v>
      </c>
      <c r="B61" s="76"/>
      <c r="C61" s="76"/>
      <c r="D61" s="17"/>
      <c r="E61" s="638">
        <v>2</v>
      </c>
      <c r="F61" s="17"/>
      <c r="G61" s="17"/>
      <c r="H61" s="44"/>
      <c r="I61" s="17"/>
      <c r="J61" s="17" t="s">
        <v>2</v>
      </c>
      <c r="K61" s="17"/>
      <c r="L61" s="17"/>
      <c r="M61" s="17"/>
      <c r="N61" s="19"/>
      <c r="O61" s="17"/>
      <c r="P61" s="17"/>
      <c r="Q61" s="7"/>
      <c r="R61" s="7"/>
      <c r="S61" s="7"/>
      <c r="T61" s="7"/>
      <c r="U61" s="7"/>
      <c r="V61" s="7"/>
      <c r="W61" s="7"/>
      <c r="X61" s="7"/>
      <c r="Y61" s="7"/>
      <c r="Z61" s="7"/>
    </row>
    <row r="62" spans="1:81">
      <c r="A62" s="249" t="s">
        <v>403</v>
      </c>
      <c r="B62" s="76"/>
      <c r="C62" s="76"/>
      <c r="D62" s="17"/>
      <c r="E62" s="638">
        <v>4</v>
      </c>
      <c r="F62" s="17"/>
      <c r="G62" s="17"/>
      <c r="H62" s="44"/>
      <c r="I62" s="17"/>
      <c r="J62" s="17"/>
      <c r="K62" s="17" t="s">
        <v>2</v>
      </c>
      <c r="L62" s="17"/>
      <c r="M62" s="17"/>
      <c r="N62" s="19"/>
      <c r="O62" s="17"/>
      <c r="P62" s="17"/>
      <c r="Q62" s="7"/>
      <c r="R62" s="7"/>
      <c r="S62" s="7"/>
      <c r="T62" s="7"/>
      <c r="U62" s="7"/>
      <c r="V62" s="7"/>
      <c r="W62" s="7"/>
      <c r="X62" s="7"/>
      <c r="Y62" s="7"/>
      <c r="Z62" s="7"/>
    </row>
    <row r="63" spans="1:81">
      <c r="A63" s="11"/>
      <c r="B63" s="17"/>
      <c r="C63" s="17"/>
      <c r="D63" s="17"/>
      <c r="E63" s="17"/>
      <c r="F63" s="17"/>
      <c r="G63" s="17"/>
      <c r="H63" s="17"/>
      <c r="I63" s="17"/>
      <c r="J63" s="17"/>
      <c r="K63" s="17" t="s">
        <v>2</v>
      </c>
      <c r="L63" s="17"/>
      <c r="M63" s="17"/>
      <c r="N63" s="19"/>
      <c r="O63" s="17"/>
      <c r="P63" s="17"/>
      <c r="Q63" s="7"/>
      <c r="R63" s="7"/>
      <c r="S63" s="7"/>
      <c r="T63" s="7"/>
      <c r="U63" s="7"/>
      <c r="V63" s="7"/>
      <c r="W63" s="7"/>
      <c r="X63" s="7"/>
      <c r="Y63" s="7"/>
      <c r="Z63" s="7"/>
    </row>
    <row r="64" spans="1:81">
      <c r="A64" s="16" t="s">
        <v>101</v>
      </c>
      <c r="B64" s="44"/>
      <c r="C64" s="44"/>
      <c r="D64" s="44"/>
      <c r="E64" s="44">
        <f>+E59*E62</f>
        <v>12</v>
      </c>
      <c r="F64" s="44" t="s">
        <v>27</v>
      </c>
      <c r="G64" s="17"/>
      <c r="H64" s="17"/>
      <c r="I64" s="17"/>
      <c r="J64" s="17"/>
      <c r="K64" s="17"/>
      <c r="L64" s="17"/>
      <c r="M64" s="17"/>
      <c r="N64" s="19"/>
      <c r="O64" s="17"/>
      <c r="P64" s="17"/>
      <c r="Q64" s="7"/>
      <c r="R64" s="7"/>
      <c r="S64" s="7"/>
      <c r="T64" s="7"/>
      <c r="U64" s="7"/>
      <c r="V64" s="7"/>
      <c r="W64" s="7"/>
      <c r="X64" s="7"/>
      <c r="Y64" s="7"/>
      <c r="Z64" s="7"/>
    </row>
    <row r="65" spans="1:26">
      <c r="A65" s="16" t="s">
        <v>102</v>
      </c>
      <c r="B65" s="44"/>
      <c r="C65" s="44"/>
      <c r="D65" s="44"/>
      <c r="E65" s="22">
        <f>(+E59*E62)/COS(ATAN((E60-E61)/E62))</f>
        <v>12.816005617976296</v>
      </c>
      <c r="F65" s="44" t="s">
        <v>27</v>
      </c>
      <c r="G65" s="17"/>
      <c r="H65" s="17"/>
      <c r="I65" s="17"/>
      <c r="J65" s="17"/>
      <c r="K65" s="17"/>
      <c r="L65" s="17"/>
      <c r="M65" s="17"/>
      <c r="N65" s="19"/>
      <c r="O65" s="17"/>
      <c r="P65" s="17"/>
      <c r="Q65" s="7"/>
      <c r="R65" s="7"/>
      <c r="S65" s="7"/>
      <c r="T65" s="7"/>
      <c r="U65" s="7"/>
      <c r="V65" s="7"/>
      <c r="W65" s="7"/>
      <c r="X65" s="7"/>
      <c r="Y65" s="7"/>
      <c r="Z65" s="7"/>
    </row>
    <row r="66" spans="1:26">
      <c r="A66" s="16"/>
      <c r="B66" s="44"/>
      <c r="C66" s="44"/>
      <c r="D66" s="44"/>
      <c r="E66" s="44"/>
      <c r="F66" s="44"/>
      <c r="G66" s="17"/>
      <c r="H66" s="17"/>
      <c r="I66" s="17"/>
      <c r="J66" s="17"/>
      <c r="K66" s="17"/>
      <c r="L66" s="17"/>
      <c r="M66" s="17"/>
      <c r="N66" s="19"/>
      <c r="O66" s="17"/>
      <c r="P66" s="17"/>
      <c r="Q66" s="7"/>
      <c r="R66" s="7"/>
      <c r="S66" s="7"/>
      <c r="T66" s="7"/>
      <c r="U66" s="7"/>
      <c r="V66" s="7"/>
      <c r="W66" s="7"/>
      <c r="X66" s="7"/>
      <c r="Y66" s="7"/>
      <c r="Z66" s="7"/>
    </row>
    <row r="67" spans="1:26">
      <c r="A67" s="16" t="s">
        <v>732</v>
      </c>
      <c r="B67" s="7"/>
      <c r="C67" s="7"/>
      <c r="D67" s="7"/>
      <c r="E67" s="6">
        <f>+(E60+E61)/2</f>
        <v>2.75</v>
      </c>
      <c r="F67" s="6" t="s">
        <v>469</v>
      </c>
      <c r="G67" s="17"/>
      <c r="H67" s="17"/>
      <c r="I67" s="17"/>
      <c r="J67" s="17"/>
      <c r="K67" s="17"/>
      <c r="L67" s="17"/>
      <c r="M67" s="17"/>
      <c r="N67" s="19"/>
      <c r="O67" s="17"/>
      <c r="P67" s="17"/>
      <c r="Q67" s="7"/>
      <c r="R67" s="7"/>
      <c r="S67" s="7"/>
      <c r="T67" s="7"/>
      <c r="U67" s="7"/>
      <c r="V67" s="7"/>
      <c r="W67" s="7"/>
      <c r="X67" s="7"/>
      <c r="Y67" s="7"/>
      <c r="Z67" s="7"/>
    </row>
    <row r="68" spans="1:26">
      <c r="A68" s="16" t="s">
        <v>103</v>
      </c>
      <c r="B68" s="44"/>
      <c r="C68" s="44"/>
      <c r="D68" s="44"/>
      <c r="E68" s="22">
        <f>+(E60+E61)*E62/2</f>
        <v>11</v>
      </c>
      <c r="F68" s="44" t="s">
        <v>27</v>
      </c>
      <c r="G68" s="17"/>
      <c r="H68" s="17"/>
      <c r="I68" s="17"/>
      <c r="J68" s="17"/>
      <c r="K68" s="17"/>
      <c r="L68" s="17"/>
      <c r="M68" s="17"/>
      <c r="N68" s="19"/>
      <c r="O68" s="17"/>
      <c r="P68" s="17"/>
      <c r="Q68" s="7"/>
      <c r="R68" s="7"/>
      <c r="S68" s="7"/>
      <c r="T68" s="7"/>
      <c r="U68" s="7"/>
      <c r="V68" s="7"/>
      <c r="W68" s="7"/>
      <c r="X68" s="7"/>
      <c r="Y68" s="7"/>
      <c r="Z68" s="7"/>
    </row>
    <row r="69" spans="1:26">
      <c r="A69" s="23" t="s">
        <v>104</v>
      </c>
      <c r="B69" s="250"/>
      <c r="C69" s="250"/>
      <c r="D69" s="250"/>
      <c r="E69" s="250">
        <f>+E68*E59</f>
        <v>33</v>
      </c>
      <c r="F69" s="250" t="s">
        <v>26</v>
      </c>
      <c r="G69" s="25"/>
      <c r="H69" s="25"/>
      <c r="I69" s="25"/>
      <c r="J69" s="25"/>
      <c r="K69" s="25"/>
      <c r="L69" s="25"/>
      <c r="M69" s="25"/>
      <c r="N69" s="15"/>
      <c r="O69" s="17"/>
      <c r="P69" s="17"/>
      <c r="Q69" s="7"/>
      <c r="R69" s="7"/>
      <c r="S69" s="7"/>
      <c r="T69" s="7"/>
      <c r="U69" s="7"/>
      <c r="V69" s="7"/>
      <c r="W69" s="7"/>
      <c r="X69" s="7"/>
      <c r="Y69" s="7"/>
      <c r="Z69" s="7"/>
    </row>
    <row r="70" spans="1:26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</row>
    <row r="71" spans="1:26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</row>
  </sheetData>
  <mergeCells count="6">
    <mergeCell ref="J5:K7"/>
    <mergeCell ref="B5:B7"/>
    <mergeCell ref="D5:E6"/>
    <mergeCell ref="F5:F7"/>
    <mergeCell ref="G5:G7"/>
    <mergeCell ref="H5:H7"/>
  </mergeCells>
  <phoneticPr fontId="14" type="noConversion"/>
  <pageMargins left="0.73" right="0.75" top="0.88" bottom="1" header="0" footer="0"/>
  <pageSetup paperSize="9" orientation="portrait" horizontalDpi="300" verticalDpi="300" r:id="rId1"/>
  <headerFooter alignWithMargins="0"/>
  <ignoredErrors>
    <ignoredError sqref="F10" formula="1"/>
  </ignoredError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:AN162"/>
  <sheetViews>
    <sheetView topLeftCell="N1" zoomScaleNormal="100" workbookViewId="0">
      <selection activeCell="AB8" sqref="AB8:AB12"/>
    </sheetView>
  </sheetViews>
  <sheetFormatPr baseColWidth="10" defaultColWidth="9.140625" defaultRowHeight="12.75"/>
  <cols>
    <col min="1" max="1" width="12.85546875" customWidth="1"/>
    <col min="2" max="3" width="9.140625" customWidth="1"/>
    <col min="4" max="4" width="9.7109375" customWidth="1"/>
    <col min="5" max="7" width="9.140625" customWidth="1"/>
    <col min="8" max="8" width="11" customWidth="1"/>
    <col min="9" max="9" width="2.7109375" customWidth="1"/>
    <col min="12" max="12" width="15" customWidth="1"/>
    <col min="26" max="26" width="12.28515625" bestFit="1" customWidth="1"/>
    <col min="27" max="27" width="11" customWidth="1"/>
    <col min="29" max="29" width="11.42578125" customWidth="1"/>
  </cols>
  <sheetData>
    <row r="1" spans="1:40">
      <c r="A1" s="6" t="s">
        <v>271</v>
      </c>
      <c r="B1" s="7"/>
      <c r="C1" s="7"/>
      <c r="D1" s="7"/>
      <c r="E1" s="7"/>
      <c r="F1" s="7"/>
      <c r="G1" s="7" t="s">
        <v>2</v>
      </c>
      <c r="H1" s="7"/>
      <c r="I1" s="7"/>
      <c r="J1" s="7"/>
      <c r="K1" s="7"/>
      <c r="L1" s="7"/>
      <c r="M1" s="7"/>
      <c r="N1" s="7"/>
      <c r="O1" s="7"/>
      <c r="P1" s="7"/>
      <c r="Q1" s="178"/>
      <c r="R1" s="178"/>
      <c r="S1" s="178"/>
      <c r="T1" s="178"/>
      <c r="U1" s="178"/>
      <c r="V1" s="178"/>
      <c r="W1" s="178"/>
      <c r="X1" s="178"/>
      <c r="Y1" s="178"/>
      <c r="Z1" s="178"/>
      <c r="AA1" s="178"/>
      <c r="AB1" s="178"/>
      <c r="AC1" s="178"/>
      <c r="AD1" s="178"/>
      <c r="AE1" s="178"/>
      <c r="AF1" s="178"/>
      <c r="AG1" s="178"/>
      <c r="AH1" s="178"/>
      <c r="AI1" s="178"/>
      <c r="AJ1" s="178"/>
      <c r="AK1" s="178"/>
      <c r="AL1" s="178"/>
      <c r="AM1" s="178"/>
      <c r="AN1" s="178"/>
    </row>
    <row r="2" spans="1:40">
      <c r="A2" s="140" t="s">
        <v>349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165"/>
      <c r="O2" s="165"/>
      <c r="P2" s="7"/>
      <c r="Q2" s="178"/>
      <c r="R2" s="178"/>
      <c r="S2" s="178"/>
      <c r="T2" s="178"/>
      <c r="U2" s="178"/>
      <c r="V2" s="178"/>
      <c r="W2" s="178"/>
      <c r="X2" s="178"/>
      <c r="Y2" s="178"/>
      <c r="Z2" s="178"/>
      <c r="AA2" s="178"/>
      <c r="AB2" s="178"/>
      <c r="AC2" s="178"/>
      <c r="AD2" s="178"/>
      <c r="AE2" s="178"/>
      <c r="AF2" s="178"/>
      <c r="AG2" s="178"/>
      <c r="AH2" s="178"/>
      <c r="AI2" s="178"/>
      <c r="AJ2" s="178"/>
      <c r="AK2" s="178"/>
      <c r="AL2" s="178"/>
      <c r="AM2" s="178"/>
      <c r="AN2" s="178"/>
    </row>
    <row r="3" spans="1:40" ht="13.5" thickBot="1">
      <c r="A3" s="140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178"/>
      <c r="R3" s="178"/>
      <c r="S3" s="178"/>
      <c r="T3" s="178"/>
      <c r="U3" s="178"/>
      <c r="V3" s="510" t="s">
        <v>671</v>
      </c>
      <c r="W3" s="511"/>
      <c r="X3" s="511"/>
      <c r="Y3" s="511"/>
      <c r="Z3" s="511"/>
      <c r="AA3" s="511"/>
      <c r="AB3" s="512">
        <v>1</v>
      </c>
      <c r="AC3" s="513"/>
      <c r="AD3" s="178"/>
      <c r="AE3" s="178"/>
      <c r="AF3" s="178"/>
      <c r="AG3" s="178"/>
      <c r="AH3" s="178"/>
      <c r="AI3" s="178"/>
      <c r="AJ3" s="178"/>
      <c r="AK3" s="178"/>
      <c r="AL3" s="178"/>
      <c r="AM3" s="178"/>
      <c r="AN3" s="178"/>
    </row>
    <row r="4" spans="1:40">
      <c r="A4" s="6" t="s">
        <v>84</v>
      </c>
      <c r="B4" s="94" t="str">
        <f>VLOOKUP(Lugar!E84,Lugar!A65:C84,2)</f>
        <v>Salta</v>
      </c>
      <c r="C4" s="480"/>
      <c r="D4" s="7" t="s">
        <v>96</v>
      </c>
      <c r="E4" s="94">
        <f>VLOOKUP(Lugar!E84,Lugar!A65:E84,3)</f>
        <v>1120.5999999999999</v>
      </c>
      <c r="F4" s="7" t="s">
        <v>97</v>
      </c>
      <c r="G4" s="7"/>
      <c r="H4" s="87">
        <f>1.1516-0.0022*E4</f>
        <v>-1.3137199999999998</v>
      </c>
      <c r="I4" s="7" t="s">
        <v>98</v>
      </c>
      <c r="J4" s="7"/>
      <c r="K4" s="7"/>
      <c r="L4" s="68" t="s">
        <v>317</v>
      </c>
      <c r="M4" s="27"/>
      <c r="N4" s="27"/>
      <c r="O4" s="27"/>
      <c r="P4" s="179" t="s">
        <v>143</v>
      </c>
      <c r="Q4" s="179"/>
      <c r="R4" s="179"/>
      <c r="S4" s="180"/>
      <c r="T4" s="178"/>
      <c r="U4" s="178"/>
      <c r="V4" s="514"/>
      <c r="W4" s="515"/>
      <c r="X4" s="515"/>
      <c r="Y4" s="515"/>
      <c r="Z4" s="515"/>
      <c r="AA4" s="515"/>
      <c r="AB4" s="515"/>
      <c r="AC4" s="516"/>
      <c r="AD4" s="165"/>
      <c r="AE4" s="165"/>
      <c r="AF4" s="178"/>
      <c r="AG4" s="178"/>
      <c r="AH4" s="178"/>
      <c r="AI4" s="178"/>
      <c r="AJ4" s="178"/>
      <c r="AK4" s="178"/>
      <c r="AL4" s="178"/>
      <c r="AM4" s="178"/>
      <c r="AN4" s="178"/>
    </row>
    <row r="5" spans="1:40" ht="13.5" thickBot="1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29"/>
      <c r="M5" s="17"/>
      <c r="N5" s="17"/>
      <c r="O5" s="17"/>
      <c r="P5" s="171" t="s">
        <v>144</v>
      </c>
      <c r="Q5" s="171"/>
      <c r="R5" s="171"/>
      <c r="S5" s="243"/>
      <c r="T5" s="178"/>
      <c r="U5" s="178"/>
      <c r="V5" s="8" t="s">
        <v>105</v>
      </c>
      <c r="W5" s="9"/>
      <c r="X5" s="9"/>
      <c r="Y5" s="9"/>
      <c r="Z5" s="9"/>
      <c r="AA5" s="9"/>
      <c r="AB5" s="9"/>
      <c r="AC5" s="10"/>
      <c r="AD5" s="17"/>
      <c r="AE5" s="7"/>
      <c r="AF5" s="178"/>
      <c r="AG5" s="178"/>
      <c r="AH5" s="178"/>
      <c r="AI5" s="178"/>
      <c r="AJ5" s="178"/>
      <c r="AK5" s="178"/>
      <c r="AL5" s="178"/>
      <c r="AM5" s="178"/>
      <c r="AN5" s="178"/>
    </row>
    <row r="6" spans="1:40" ht="13.5" thickBot="1">
      <c r="A6" s="39" t="s">
        <v>81</v>
      </c>
      <c r="B6" s="40"/>
      <c r="C6" s="40"/>
      <c r="D6" s="40"/>
      <c r="E6" s="40"/>
      <c r="F6" s="40"/>
      <c r="G6" s="40"/>
      <c r="H6" s="41"/>
      <c r="I6" s="7"/>
      <c r="J6" s="7"/>
      <c r="K6" s="7"/>
      <c r="L6" s="43" t="s">
        <v>137</v>
      </c>
      <c r="M6" s="71" t="s">
        <v>108</v>
      </c>
      <c r="N6" s="72" t="s">
        <v>76</v>
      </c>
      <c r="O6" s="73" t="s">
        <v>76</v>
      </c>
      <c r="P6" s="7"/>
      <c r="Q6" s="17"/>
      <c r="R6" s="17"/>
      <c r="S6" s="55"/>
      <c r="T6" s="178"/>
      <c r="U6" s="178"/>
      <c r="V6" s="11" t="s">
        <v>99</v>
      </c>
      <c r="W6" s="17"/>
      <c r="X6" s="17"/>
      <c r="Y6" s="17"/>
      <c r="Z6" s="2">
        <v>0.85</v>
      </c>
      <c r="AA6" s="17"/>
      <c r="AB6" s="17"/>
      <c r="AC6" s="19"/>
      <c r="AD6" s="17"/>
      <c r="AE6" s="7"/>
      <c r="AF6" s="178"/>
      <c r="AG6" s="178"/>
      <c r="AH6" s="178"/>
      <c r="AI6" s="178"/>
      <c r="AJ6" s="178"/>
      <c r="AK6" s="178"/>
      <c r="AL6" s="178"/>
      <c r="AM6" s="178"/>
      <c r="AN6" s="178"/>
    </row>
    <row r="7" spans="1:40">
      <c r="A7" s="42"/>
      <c r="B7" s="27"/>
      <c r="C7" s="27"/>
      <c r="D7" s="27"/>
      <c r="E7" s="27"/>
      <c r="F7" s="27"/>
      <c r="G7" s="27"/>
      <c r="H7" s="28"/>
      <c r="I7" s="7"/>
      <c r="J7" s="7"/>
      <c r="K7" s="7"/>
      <c r="L7" s="43" t="s">
        <v>138</v>
      </c>
      <c r="M7" s="76" t="s">
        <v>139</v>
      </c>
      <c r="N7" s="76" t="s">
        <v>135</v>
      </c>
      <c r="O7" s="76" t="s">
        <v>136</v>
      </c>
      <c r="P7" s="7"/>
      <c r="Q7" s="17"/>
      <c r="R7" s="17"/>
      <c r="S7" s="55"/>
      <c r="T7" s="178"/>
      <c r="U7" s="178"/>
      <c r="V7" s="11" t="s">
        <v>21</v>
      </c>
      <c r="W7" s="11"/>
      <c r="X7" s="44">
        <f>+E4*F21*(1-Q37)*0.024*AB3/Z6</f>
        <v>4093.6159990337264</v>
      </c>
      <c r="Y7" s="44" t="s">
        <v>100</v>
      </c>
      <c r="Z7" s="17"/>
      <c r="AA7" s="17"/>
      <c r="AB7" s="17" t="s">
        <v>328</v>
      </c>
      <c r="AC7" s="19" t="s">
        <v>329</v>
      </c>
      <c r="AD7" s="17"/>
      <c r="AE7" s="7"/>
      <c r="AF7" s="178"/>
      <c r="AG7" s="178"/>
      <c r="AH7" s="178"/>
      <c r="AI7" s="178"/>
      <c r="AJ7" s="178"/>
      <c r="AK7" s="178"/>
      <c r="AL7" s="178"/>
      <c r="AM7" s="178"/>
      <c r="AN7" s="178"/>
    </row>
    <row r="8" spans="1:40">
      <c r="A8" s="43" t="s">
        <v>7</v>
      </c>
      <c r="B8" s="44"/>
      <c r="C8" s="44" t="s">
        <v>8</v>
      </c>
      <c r="D8" s="45" t="s">
        <v>82</v>
      </c>
      <c r="E8" s="44"/>
      <c r="F8" s="44" t="s">
        <v>10</v>
      </c>
      <c r="G8" s="44" t="s">
        <v>77</v>
      </c>
      <c r="H8" s="46"/>
      <c r="I8" s="6"/>
      <c r="J8" s="165"/>
      <c r="K8" s="7"/>
      <c r="L8" s="43"/>
      <c r="M8" s="76"/>
      <c r="N8" s="76"/>
      <c r="O8" s="76"/>
      <c r="P8" s="7"/>
      <c r="Q8" s="17"/>
      <c r="R8" s="17"/>
      <c r="S8" s="55"/>
      <c r="T8" s="178"/>
      <c r="U8" s="178"/>
      <c r="V8" s="11" t="s">
        <v>672</v>
      </c>
      <c r="W8" s="17"/>
      <c r="X8" s="34">
        <f>+X7</f>
        <v>4093.6159990337264</v>
      </c>
      <c r="Y8" s="17"/>
      <c r="Z8" s="17"/>
      <c r="AA8" s="17"/>
      <c r="AB8" s="181">
        <v>147</v>
      </c>
      <c r="AC8" s="131">
        <f>+AB8*X8</f>
        <v>601761.55185795773</v>
      </c>
      <c r="AD8" s="17"/>
      <c r="AE8" s="7"/>
      <c r="AF8" s="178"/>
      <c r="AG8" s="178"/>
      <c r="AH8" s="178"/>
      <c r="AI8" s="178"/>
      <c r="AJ8" s="178"/>
      <c r="AK8" s="178"/>
      <c r="AL8" s="178"/>
      <c r="AM8" s="178"/>
      <c r="AN8" s="178"/>
    </row>
    <row r="9" spans="1:40" ht="13.5" thickBot="1">
      <c r="A9" s="31"/>
      <c r="B9" s="47"/>
      <c r="C9" s="47"/>
      <c r="D9" s="48" t="s">
        <v>83</v>
      </c>
      <c r="E9" s="47"/>
      <c r="F9" s="47" t="s">
        <v>319</v>
      </c>
      <c r="G9" s="48" t="s">
        <v>358</v>
      </c>
      <c r="H9" s="49"/>
      <c r="I9" s="7"/>
      <c r="J9" s="7"/>
      <c r="K9" s="50"/>
      <c r="L9" s="69" t="s">
        <v>85</v>
      </c>
      <c r="M9" s="128">
        <v>0</v>
      </c>
      <c r="N9" s="84">
        <f>+mensual!V23</f>
        <v>0.1246815266623147</v>
      </c>
      <c r="O9" s="82">
        <f>+N9*M9/$M$36</f>
        <v>0</v>
      </c>
      <c r="P9" s="7"/>
      <c r="Q9" s="17" t="s">
        <v>11</v>
      </c>
      <c r="R9" s="17"/>
      <c r="S9" s="55"/>
      <c r="T9" s="178"/>
      <c r="U9" s="178"/>
      <c r="V9" s="11" t="s">
        <v>324</v>
      </c>
      <c r="W9" s="17"/>
      <c r="X9" s="34">
        <f>X7/586.06*45</f>
        <v>314.32399405609954</v>
      </c>
      <c r="Y9" s="17"/>
      <c r="Z9" s="17"/>
      <c r="AA9" s="17"/>
      <c r="AB9" s="181">
        <v>400</v>
      </c>
      <c r="AC9" s="131">
        <f>+AB9*X9</f>
        <v>125729.59762243982</v>
      </c>
      <c r="AD9" s="17"/>
      <c r="AE9" s="7"/>
      <c r="AF9" s="178"/>
      <c r="AG9" s="178"/>
      <c r="AH9" s="178"/>
      <c r="AI9" s="178"/>
      <c r="AJ9" s="178"/>
      <c r="AK9" s="178"/>
      <c r="AL9" s="178"/>
      <c r="AM9" s="178"/>
      <c r="AN9" s="178"/>
    </row>
    <row r="10" spans="1:40">
      <c r="A10" s="42" t="s">
        <v>69</v>
      </c>
      <c r="B10" s="27"/>
      <c r="C10" s="276">
        <f>+superficies!D16</f>
        <v>82.07</v>
      </c>
      <c r="D10" s="166">
        <v>0.65</v>
      </c>
      <c r="E10" s="167"/>
      <c r="F10" s="167">
        <f t="shared" ref="F10:F15" si="0">C10*D10</f>
        <v>53.345499999999994</v>
      </c>
      <c r="G10" s="282">
        <f t="shared" ref="G10:G16" si="1">+(F10/$F$21)*100</f>
        <v>23.60439464011424</v>
      </c>
      <c r="H10" s="168" t="s">
        <v>11</v>
      </c>
      <c r="I10" s="50"/>
      <c r="J10" s="50"/>
      <c r="K10" s="50"/>
      <c r="L10" s="69" t="s">
        <v>109</v>
      </c>
      <c r="M10" s="128">
        <f>+superficies!G8</f>
        <v>18</v>
      </c>
      <c r="N10" s="84">
        <f>+mensual!V24</f>
        <v>0.42752141678477412</v>
      </c>
      <c r="O10" s="82">
        <f>+N10*M10/$M$36</f>
        <v>0.42752141678477412</v>
      </c>
      <c r="P10" s="7"/>
      <c r="Q10" s="17" t="s">
        <v>11</v>
      </c>
      <c r="R10" s="17"/>
      <c r="S10" s="55"/>
      <c r="T10" s="178"/>
      <c r="U10" s="178"/>
      <c r="V10" s="11" t="s">
        <v>325</v>
      </c>
      <c r="W10" s="17"/>
      <c r="X10" s="34">
        <f>X7/10.82</f>
        <v>378.33789270182314</v>
      </c>
      <c r="Y10" s="17"/>
      <c r="Z10" s="17"/>
      <c r="AA10" s="17"/>
      <c r="AB10" s="181">
        <v>107.5</v>
      </c>
      <c r="AC10" s="131">
        <f>+AB10*X10</f>
        <v>40671.323465445988</v>
      </c>
      <c r="AD10" s="17"/>
      <c r="AE10" s="7"/>
      <c r="AF10" s="178"/>
      <c r="AG10" s="178"/>
      <c r="AH10" s="178"/>
      <c r="AI10" s="178"/>
      <c r="AJ10" s="178"/>
      <c r="AK10" s="178"/>
      <c r="AL10" s="178"/>
      <c r="AM10" s="178"/>
      <c r="AN10" s="178"/>
    </row>
    <row r="11" spans="1:40">
      <c r="A11" s="29" t="s">
        <v>70</v>
      </c>
      <c r="B11" s="17"/>
      <c r="C11" s="277">
        <f>+superficies!E16</f>
        <v>15</v>
      </c>
      <c r="D11" s="3">
        <v>0.65</v>
      </c>
      <c r="E11" s="51"/>
      <c r="F11" s="51">
        <f t="shared" si="0"/>
        <v>9.75</v>
      </c>
      <c r="G11" s="18">
        <f t="shared" si="1"/>
        <v>4.3141942195895409</v>
      </c>
      <c r="H11" s="169" t="s">
        <v>11</v>
      </c>
      <c r="I11" s="50"/>
      <c r="J11" s="50"/>
      <c r="K11" s="50"/>
      <c r="L11" s="69" t="s">
        <v>110</v>
      </c>
      <c r="M11" s="128">
        <v>0</v>
      </c>
      <c r="N11" s="84">
        <f>+mensual!V25</f>
        <v>0.40972085352969623</v>
      </c>
      <c r="O11" s="82">
        <f>+N11*M11/$M$36</f>
        <v>0</v>
      </c>
      <c r="P11" s="7"/>
      <c r="Q11" s="17" t="s">
        <v>11</v>
      </c>
      <c r="R11" s="17"/>
      <c r="S11" s="55"/>
      <c r="T11" s="178"/>
      <c r="U11" s="178"/>
      <c r="V11" s="11" t="s">
        <v>326</v>
      </c>
      <c r="W11" s="17"/>
      <c r="X11" s="34">
        <f>X7/8.95</f>
        <v>457.38726246186889</v>
      </c>
      <c r="Y11" s="17"/>
      <c r="Z11" s="17"/>
      <c r="AA11" s="17"/>
      <c r="AB11" s="181">
        <v>0</v>
      </c>
      <c r="AC11" s="131">
        <f>+AB11*X11</f>
        <v>0</v>
      </c>
      <c r="AD11" s="17"/>
      <c r="AE11" s="7"/>
      <c r="AF11" s="178"/>
      <c r="AG11" s="178"/>
      <c r="AH11" s="178"/>
      <c r="AI11" s="178"/>
      <c r="AJ11" s="178"/>
      <c r="AK11" s="178"/>
      <c r="AL11" s="178"/>
      <c r="AM11" s="178"/>
      <c r="AN11" s="178"/>
    </row>
    <row r="12" spans="1:40">
      <c r="A12" s="29" t="s">
        <v>71</v>
      </c>
      <c r="B12" s="17"/>
      <c r="C12" s="277">
        <f>+superficies!D18</f>
        <v>109.12499999999999</v>
      </c>
      <c r="D12" s="3">
        <v>0.4</v>
      </c>
      <c r="E12" s="51"/>
      <c r="F12" s="51">
        <f t="shared" si="0"/>
        <v>43.65</v>
      </c>
      <c r="G12" s="18">
        <f t="shared" si="1"/>
        <v>19.31431566000856</v>
      </c>
      <c r="H12" s="169" t="s">
        <v>11</v>
      </c>
      <c r="I12" s="50"/>
      <c r="J12" s="50"/>
      <c r="K12" s="50"/>
      <c r="L12" s="69" t="s">
        <v>111</v>
      </c>
      <c r="M12" s="129">
        <v>0</v>
      </c>
      <c r="N12" s="84">
        <f>+mensual!V26</f>
        <v>0.50402174717432247</v>
      </c>
      <c r="O12" s="82">
        <f>+N12*M12/$M$36</f>
        <v>0</v>
      </c>
      <c r="P12" s="7"/>
      <c r="Q12" s="17"/>
      <c r="R12" s="17"/>
      <c r="S12" s="55"/>
      <c r="T12" s="178"/>
      <c r="U12" s="178"/>
      <c r="V12" s="14" t="s">
        <v>327</v>
      </c>
      <c r="W12" s="25"/>
      <c r="X12" s="36">
        <f>X7/3.48</f>
        <v>1176.3264365039445</v>
      </c>
      <c r="Y12" s="25"/>
      <c r="Z12" s="25"/>
      <c r="AA12" s="25"/>
      <c r="AB12" s="182">
        <v>180</v>
      </c>
      <c r="AC12" s="132">
        <f>+AB12*X12</f>
        <v>211738.75857070999</v>
      </c>
      <c r="AD12" s="17"/>
      <c r="AE12" s="7"/>
      <c r="AF12" s="178"/>
      <c r="AG12" s="178"/>
      <c r="AH12" s="178"/>
      <c r="AI12" s="178"/>
      <c r="AJ12" s="178"/>
      <c r="AK12" s="178"/>
      <c r="AL12" s="178"/>
      <c r="AM12" s="178"/>
      <c r="AN12" s="178"/>
    </row>
    <row r="13" spans="1:40">
      <c r="A13" s="29" t="s">
        <v>72</v>
      </c>
      <c r="B13" s="17"/>
      <c r="C13" s="277">
        <f>+superficies!E18</f>
        <v>0</v>
      </c>
      <c r="D13" s="3">
        <v>0.34</v>
      </c>
      <c r="E13" s="51"/>
      <c r="F13" s="51">
        <f t="shared" si="0"/>
        <v>0</v>
      </c>
      <c r="G13" s="18">
        <f t="shared" si="1"/>
        <v>0</v>
      </c>
      <c r="H13" s="169" t="s">
        <v>11</v>
      </c>
      <c r="I13" s="50"/>
      <c r="J13" s="50"/>
      <c r="K13" s="50"/>
      <c r="L13" s="29"/>
      <c r="M13" s="17"/>
      <c r="N13" s="82"/>
      <c r="O13" s="82"/>
      <c r="P13" s="7"/>
      <c r="Q13" s="17"/>
      <c r="R13" s="17"/>
      <c r="S13" s="55"/>
      <c r="T13" s="178"/>
      <c r="U13" s="178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178"/>
      <c r="AG13" s="178"/>
      <c r="AH13" s="178"/>
      <c r="AI13" s="178"/>
      <c r="AJ13" s="178"/>
      <c r="AK13" s="178"/>
      <c r="AL13" s="178"/>
      <c r="AM13" s="178"/>
      <c r="AN13" s="178"/>
    </row>
    <row r="14" spans="1:40">
      <c r="A14" s="29" t="s">
        <v>73</v>
      </c>
      <c r="B14" s="17"/>
      <c r="C14" s="277">
        <f>+superficies!G12</f>
        <v>3.36</v>
      </c>
      <c r="D14" s="3">
        <v>4.3</v>
      </c>
      <c r="E14" s="51"/>
      <c r="F14" s="51">
        <f t="shared" si="0"/>
        <v>14.447999999999999</v>
      </c>
      <c r="G14" s="18">
        <f t="shared" si="1"/>
        <v>6.3929721112440703</v>
      </c>
      <c r="H14" s="169" t="s">
        <v>11</v>
      </c>
      <c r="I14" s="50"/>
      <c r="J14" s="50"/>
      <c r="K14" s="50"/>
      <c r="L14" s="75" t="s">
        <v>140</v>
      </c>
      <c r="M14" s="71" t="s">
        <v>108</v>
      </c>
      <c r="N14" s="85" t="s">
        <v>76</v>
      </c>
      <c r="O14" s="83" t="s">
        <v>76</v>
      </c>
      <c r="P14" s="7"/>
      <c r="Q14" s="17"/>
      <c r="R14" s="17"/>
      <c r="S14" s="55"/>
      <c r="T14" s="178"/>
      <c r="U14" s="178"/>
      <c r="V14" s="17"/>
      <c r="W14" s="17"/>
      <c r="X14" s="17"/>
      <c r="Y14" s="17"/>
      <c r="Z14" s="17"/>
      <c r="AA14" s="17"/>
      <c r="AB14" s="17"/>
      <c r="AC14" s="17"/>
      <c r="AD14" s="17"/>
      <c r="AE14" s="7"/>
      <c r="AF14" s="178"/>
      <c r="AG14" s="178"/>
      <c r="AH14" s="178"/>
      <c r="AI14" s="178"/>
      <c r="AJ14" s="178"/>
      <c r="AK14" s="178"/>
      <c r="AL14" s="178"/>
      <c r="AM14" s="178"/>
      <c r="AN14" s="178"/>
    </row>
    <row r="15" spans="1:40">
      <c r="A15" s="29" t="s">
        <v>89</v>
      </c>
      <c r="B15" s="17"/>
      <c r="C15" s="277">
        <f>+superficies!F16</f>
        <v>4.3900000000000006</v>
      </c>
      <c r="D15" s="3">
        <v>2.64</v>
      </c>
      <c r="E15" s="51"/>
      <c r="F15" s="51">
        <f t="shared" si="0"/>
        <v>11.589600000000003</v>
      </c>
      <c r="G15" s="18">
        <f t="shared" si="1"/>
        <v>5.1281831104979441</v>
      </c>
      <c r="H15" s="169" t="s">
        <v>11</v>
      </c>
      <c r="I15" s="50"/>
      <c r="J15" s="50"/>
      <c r="K15" s="50"/>
      <c r="L15" s="75" t="s">
        <v>141</v>
      </c>
      <c r="M15" s="17" t="s">
        <v>139</v>
      </c>
      <c r="N15" s="82" t="s">
        <v>135</v>
      </c>
      <c r="O15" s="82" t="s">
        <v>136</v>
      </c>
      <c r="P15" s="7"/>
      <c r="Q15" s="17"/>
      <c r="R15" s="17"/>
      <c r="S15" s="55"/>
      <c r="T15" s="178"/>
      <c r="U15" s="178"/>
      <c r="V15" s="8" t="s">
        <v>106</v>
      </c>
      <c r="W15" s="9"/>
      <c r="X15" s="9"/>
      <c r="Y15" s="9"/>
      <c r="Z15" s="9"/>
      <c r="AA15" s="10"/>
      <c r="AB15" s="17"/>
      <c r="AC15" s="17"/>
      <c r="AD15" s="7"/>
      <c r="AE15" s="7"/>
      <c r="AF15" s="178"/>
      <c r="AG15" s="178"/>
      <c r="AH15" s="178"/>
      <c r="AI15" s="178"/>
      <c r="AJ15" s="178"/>
      <c r="AK15" s="178"/>
      <c r="AL15" s="178"/>
      <c r="AM15" s="178"/>
      <c r="AN15" s="178"/>
    </row>
    <row r="16" spans="1:40">
      <c r="A16" s="29" t="s">
        <v>13</v>
      </c>
      <c r="B16" s="17"/>
      <c r="C16" s="277">
        <f>+superficies!D21</f>
        <v>41.9</v>
      </c>
      <c r="D16" s="170">
        <v>0</v>
      </c>
      <c r="E16" s="51"/>
      <c r="F16" s="51">
        <f>IF(D16=0,((1.27*+superficies!D21)/1.024),(1.27*+superficies!D21)/(1.024+1/D16))</f>
        <v>51.9658203125</v>
      </c>
      <c r="G16" s="18">
        <f t="shared" si="1"/>
        <v>22.993911959837565</v>
      </c>
      <c r="H16" s="169" t="s">
        <v>11</v>
      </c>
      <c r="I16" s="50"/>
      <c r="J16" s="50"/>
      <c r="K16" s="50"/>
      <c r="L16" s="69" t="s">
        <v>124</v>
      </c>
      <c r="M16" s="129">
        <v>0</v>
      </c>
      <c r="N16" s="84">
        <f>+mensual!V27</f>
        <v>0.16572645687006696</v>
      </c>
      <c r="O16" s="82">
        <f t="shared" ref="O16:O21" si="2">+N16*M16/$M$36</f>
        <v>0</v>
      </c>
      <c r="P16" s="7"/>
      <c r="Q16" s="17"/>
      <c r="R16" s="17"/>
      <c r="S16" s="55"/>
      <c r="T16" s="178"/>
      <c r="U16" s="178"/>
      <c r="V16" s="8" t="s">
        <v>7</v>
      </c>
      <c r="W16" s="30"/>
      <c r="X16" s="56" t="s">
        <v>8</v>
      </c>
      <c r="Y16" s="8" t="s">
        <v>9</v>
      </c>
      <c r="Z16" s="30"/>
      <c r="AA16" s="56" t="s">
        <v>16</v>
      </c>
      <c r="AB16" s="17"/>
      <c r="AC16" s="17"/>
      <c r="AD16" s="7"/>
      <c r="AE16" s="7"/>
      <c r="AF16" s="178"/>
      <c r="AG16" s="178"/>
      <c r="AH16" s="178"/>
      <c r="AI16" s="178"/>
      <c r="AJ16" s="178"/>
      <c r="AK16" s="178"/>
      <c r="AL16" s="178"/>
      <c r="AM16" s="178"/>
      <c r="AN16" s="178"/>
    </row>
    <row r="17" spans="1:40" ht="14.25">
      <c r="A17" s="29" t="s">
        <v>14</v>
      </c>
      <c r="B17" s="17" t="s">
        <v>104</v>
      </c>
      <c r="C17" s="17">
        <f>+superficies!D22</f>
        <v>261.89999999999998</v>
      </c>
      <c r="D17" s="17" t="s">
        <v>122</v>
      </c>
      <c r="E17" s="17"/>
      <c r="F17" s="51">
        <f>0.35*$D20*0.9*C17</f>
        <v>41.249249999999996</v>
      </c>
      <c r="G17" s="18">
        <f>+(F17/$F$21)*100</f>
        <v>18.252028298708087</v>
      </c>
      <c r="H17" s="392" t="s">
        <v>11</v>
      </c>
      <c r="I17" s="50"/>
      <c r="J17" s="50"/>
      <c r="K17" s="50"/>
      <c r="L17" s="69" t="s">
        <v>112</v>
      </c>
      <c r="M17" s="129">
        <v>0</v>
      </c>
      <c r="N17" s="84">
        <f>+mensual!V28</f>
        <v>0.29548980354291809</v>
      </c>
      <c r="O17" s="82">
        <f t="shared" si="2"/>
        <v>0</v>
      </c>
      <c r="P17" s="7"/>
      <c r="Q17" s="17"/>
      <c r="R17" s="17"/>
      <c r="S17" s="55"/>
      <c r="T17" s="178"/>
      <c r="U17" s="178"/>
      <c r="V17" s="8" t="s">
        <v>15</v>
      </c>
      <c r="W17" s="10"/>
      <c r="X17" s="13"/>
      <c r="Y17" s="12"/>
      <c r="Z17" s="10"/>
      <c r="AA17" s="57">
        <f>F21</f>
        <v>225.99817031249998</v>
      </c>
      <c r="AB17" s="17"/>
      <c r="AC17" s="17"/>
      <c r="AD17" s="7"/>
      <c r="AE17" s="7"/>
      <c r="AF17" s="178"/>
      <c r="AG17" s="178"/>
      <c r="AH17" s="178"/>
      <c r="AI17" s="178"/>
      <c r="AJ17" s="178"/>
      <c r="AK17" s="178"/>
      <c r="AL17" s="178"/>
      <c r="AM17" s="178"/>
      <c r="AN17" s="178"/>
    </row>
    <row r="18" spans="1:40">
      <c r="A18" s="29"/>
      <c r="B18" s="17" t="s">
        <v>431</v>
      </c>
      <c r="C18" s="17">
        <f>VLOOKUP(Lugar!E84,Lugar!A64:F84,6)</f>
        <v>1221</v>
      </c>
      <c r="D18" s="17" t="s">
        <v>430</v>
      </c>
      <c r="E18" s="17"/>
      <c r="F18" s="17"/>
      <c r="G18" s="17" t="s">
        <v>2</v>
      </c>
      <c r="H18" s="55"/>
      <c r="I18" s="50"/>
      <c r="J18" s="50"/>
      <c r="K18" s="50"/>
      <c r="L18" s="69" t="s">
        <v>125</v>
      </c>
      <c r="M18" s="129">
        <v>0</v>
      </c>
      <c r="N18" s="84">
        <f>+mensual!V29</f>
        <v>0.28792314896615018</v>
      </c>
      <c r="O18" s="82">
        <f t="shared" si="2"/>
        <v>0</v>
      </c>
      <c r="P18" s="7"/>
      <c r="Q18" s="17"/>
      <c r="R18" s="17"/>
      <c r="S18" s="55"/>
      <c r="T18" s="178"/>
      <c r="U18" s="178"/>
      <c r="V18" s="11" t="s">
        <v>17</v>
      </c>
      <c r="W18" s="19"/>
      <c r="X18" s="58">
        <f>+superficies!G8</f>
        <v>18</v>
      </c>
      <c r="Y18" s="2">
        <v>4.3</v>
      </c>
      <c r="Z18" s="19"/>
      <c r="AA18" s="59">
        <f>X18*Y18</f>
        <v>77.399999999999991</v>
      </c>
      <c r="AB18" s="17"/>
      <c r="AC18" s="17"/>
      <c r="AD18" s="7"/>
      <c r="AE18" s="7"/>
      <c r="AF18" s="178"/>
      <c r="AG18" s="178"/>
      <c r="AH18" s="178"/>
      <c r="AI18" s="178"/>
      <c r="AJ18" s="178"/>
      <c r="AK18" s="178"/>
      <c r="AL18" s="178"/>
      <c r="AM18" s="178"/>
      <c r="AN18" s="178"/>
    </row>
    <row r="19" spans="1:40">
      <c r="A19" s="29"/>
      <c r="B19" s="17" t="s">
        <v>297</v>
      </c>
      <c r="C19" s="17">
        <f>-0.00008*C18+ 0.9927</f>
        <v>0.89502000000000004</v>
      </c>
      <c r="D19" s="17"/>
      <c r="E19" s="17"/>
      <c r="F19" s="17"/>
      <c r="G19" s="17"/>
      <c r="H19" s="55"/>
      <c r="I19" s="50"/>
      <c r="J19" s="50"/>
      <c r="K19" s="50"/>
      <c r="L19" s="69" t="s">
        <v>113</v>
      </c>
      <c r="M19" s="129">
        <v>0</v>
      </c>
      <c r="N19" s="84">
        <f>+mensual!V30</f>
        <v>0.38623219917028179</v>
      </c>
      <c r="O19" s="82">
        <f t="shared" si="2"/>
        <v>0</v>
      </c>
      <c r="P19" s="7"/>
      <c r="Q19" s="17"/>
      <c r="R19" s="17"/>
      <c r="S19" s="55"/>
      <c r="T19" s="178"/>
      <c r="U19" s="178"/>
      <c r="V19" s="11" t="s">
        <v>18</v>
      </c>
      <c r="W19" s="19"/>
      <c r="X19" s="58">
        <f>+superficies!G10+superficies!G14</f>
        <v>2.88</v>
      </c>
      <c r="Y19" s="4">
        <v>4.3</v>
      </c>
      <c r="Z19" s="19"/>
      <c r="AA19" s="59">
        <f>X19*Y19</f>
        <v>12.383999999999999</v>
      </c>
      <c r="AB19" s="17"/>
      <c r="AC19" s="17"/>
      <c r="AD19" s="7"/>
      <c r="AE19" s="7"/>
      <c r="AF19" s="178"/>
      <c r="AG19" s="178"/>
      <c r="AH19" s="178"/>
      <c r="AI19" s="178"/>
      <c r="AJ19" s="178"/>
      <c r="AK19" s="178"/>
      <c r="AL19" s="178"/>
      <c r="AM19" s="178"/>
      <c r="AN19" s="178"/>
    </row>
    <row r="20" spans="1:40" ht="13.5" thickBot="1">
      <c r="A20" s="29"/>
      <c r="B20" s="17"/>
      <c r="C20" s="17" t="s">
        <v>210</v>
      </c>
      <c r="D20" s="281">
        <v>0.5</v>
      </c>
      <c r="E20" s="17"/>
      <c r="F20" s="17"/>
      <c r="G20" s="17"/>
      <c r="H20" s="55"/>
      <c r="I20" s="50"/>
      <c r="J20" s="50"/>
      <c r="K20" s="7"/>
      <c r="L20" s="69" t="s">
        <v>126</v>
      </c>
      <c r="M20" s="129">
        <v>0</v>
      </c>
      <c r="N20" s="84">
        <f>+mensual!V31</f>
        <v>0.25016897898621537</v>
      </c>
      <c r="O20" s="82">
        <f t="shared" si="2"/>
        <v>0</v>
      </c>
      <c r="P20" s="7"/>
      <c r="Q20" s="17"/>
      <c r="R20" s="17"/>
      <c r="S20" s="55"/>
      <c r="T20" s="178"/>
      <c r="U20" s="178"/>
      <c r="V20" s="23" t="s">
        <v>19</v>
      </c>
      <c r="W20" s="15"/>
      <c r="X20" s="60"/>
      <c r="Y20" s="14"/>
      <c r="Z20" s="15"/>
      <c r="AA20" s="59">
        <f>+AA19+AA18+AA17</f>
        <v>315.78217031249994</v>
      </c>
      <c r="AB20" s="17"/>
      <c r="AC20" s="17"/>
      <c r="AD20" s="7"/>
      <c r="AE20" s="7"/>
      <c r="AF20" s="178"/>
      <c r="AG20" s="178"/>
      <c r="AH20" s="178"/>
      <c r="AI20" s="178"/>
      <c r="AJ20" s="178"/>
      <c r="AK20" s="178"/>
      <c r="AL20" s="178"/>
      <c r="AM20" s="178"/>
      <c r="AN20" s="178"/>
    </row>
    <row r="21" spans="1:40" ht="15" thickBot="1">
      <c r="A21" s="39" t="s">
        <v>15</v>
      </c>
      <c r="B21" s="173"/>
      <c r="C21" s="173"/>
      <c r="D21" s="280" t="s">
        <v>2</v>
      </c>
      <c r="E21" s="174"/>
      <c r="F21" s="175">
        <f>SUM(F10:F19)</f>
        <v>225.99817031249998</v>
      </c>
      <c r="G21" s="70">
        <f>(+F21/$F$21)*100</f>
        <v>100</v>
      </c>
      <c r="H21" s="172" t="s">
        <v>11</v>
      </c>
      <c r="I21" s="7"/>
      <c r="J21" s="50"/>
      <c r="K21" s="50"/>
      <c r="L21" s="69" t="s">
        <v>114</v>
      </c>
      <c r="M21" s="129">
        <v>0</v>
      </c>
      <c r="N21" s="84">
        <f>+mensual!V32</f>
        <v>0.1582709679030179</v>
      </c>
      <c r="O21" s="82">
        <f t="shared" si="2"/>
        <v>0</v>
      </c>
      <c r="P21" s="7"/>
      <c r="Q21" s="17"/>
      <c r="R21" s="17"/>
      <c r="S21" s="55"/>
      <c r="T21" s="178"/>
      <c r="U21" s="178"/>
      <c r="V21" s="76" t="s">
        <v>426</v>
      </c>
      <c r="W21" s="17"/>
      <c r="X21" s="17"/>
      <c r="Y21" s="17"/>
      <c r="Z21" s="17"/>
      <c r="AA21" s="61">
        <f>(AA20)/C17</f>
        <v>1.2057356636597938</v>
      </c>
      <c r="AB21" s="76" t="s">
        <v>404</v>
      </c>
      <c r="AC21" s="17"/>
      <c r="AD21" s="7"/>
      <c r="AE21" s="7"/>
      <c r="AF21" s="178"/>
      <c r="AG21" s="178"/>
      <c r="AH21" s="178"/>
      <c r="AI21" s="178"/>
      <c r="AJ21" s="178"/>
      <c r="AK21" s="178"/>
      <c r="AL21" s="178"/>
      <c r="AM21" s="178"/>
      <c r="AN21" s="178"/>
    </row>
    <row r="22" spans="1:40">
      <c r="A22" s="44"/>
      <c r="B22" s="44"/>
      <c r="C22" s="44"/>
      <c r="D22" s="176"/>
      <c r="E22" s="176"/>
      <c r="F22" s="176"/>
      <c r="G22" s="34"/>
      <c r="H22" s="177"/>
      <c r="I22" s="17"/>
      <c r="J22" s="51"/>
      <c r="K22" s="7"/>
      <c r="L22" s="478" t="s">
        <v>618</v>
      </c>
      <c r="M22" s="129">
        <v>0</v>
      </c>
      <c r="N22" s="84">
        <f>+mensual!V33</f>
        <v>0.18844504245412771</v>
      </c>
      <c r="O22" s="82">
        <f t="shared" ref="O22:O24" si="3">+N22*M22/$M$36</f>
        <v>0</v>
      </c>
      <c r="P22" s="7"/>
      <c r="T22" s="178"/>
      <c r="U22" s="178"/>
      <c r="V22" s="7"/>
      <c r="W22" s="7"/>
      <c r="X22" s="7"/>
      <c r="Y22" s="7"/>
      <c r="Z22" s="7"/>
      <c r="AA22" s="7"/>
      <c r="AB22" s="17"/>
      <c r="AC22" s="17"/>
      <c r="AD22" s="7"/>
      <c r="AE22" s="7"/>
      <c r="AF22" s="178"/>
      <c r="AG22" s="178"/>
      <c r="AH22" s="178"/>
      <c r="AI22" s="178"/>
      <c r="AJ22" s="178"/>
      <c r="AK22" s="178"/>
      <c r="AL22" s="178"/>
      <c r="AM22" s="178"/>
      <c r="AN22" s="178"/>
    </row>
    <row r="23" spans="1:40">
      <c r="A23" s="17"/>
      <c r="B23" s="17"/>
      <c r="C23" s="17"/>
      <c r="D23" s="17"/>
      <c r="E23" s="17"/>
      <c r="F23" s="17"/>
      <c r="G23" s="17"/>
      <c r="H23" s="17"/>
      <c r="I23" s="17"/>
      <c r="J23" s="17"/>
      <c r="K23" s="7"/>
      <c r="L23" s="478" t="s">
        <v>619</v>
      </c>
      <c r="M23" s="129">
        <v>0</v>
      </c>
      <c r="N23" s="84">
        <f>+mensual!V34</f>
        <v>0.30832943517714989</v>
      </c>
      <c r="O23" s="82">
        <f t="shared" si="3"/>
        <v>0</v>
      </c>
      <c r="P23" s="7"/>
      <c r="T23" s="178"/>
      <c r="U23" s="178"/>
      <c r="V23" s="321" t="s">
        <v>535</v>
      </c>
      <c r="W23" s="7"/>
      <c r="X23" s="369">
        <v>22</v>
      </c>
      <c r="Y23" s="7" t="s">
        <v>98</v>
      </c>
      <c r="Z23" s="504" t="str">
        <f>IF(+E4&lt;400,"NO SERA NECESARIO CALEFACCIONAR",IF(E4&lt;900,"CASINOSERIANECESARIOCALEFACCIONAUXILIAR"," "))</f>
        <v xml:space="preserve"> </v>
      </c>
      <c r="AA23" s="7"/>
      <c r="AB23" s="17"/>
      <c r="AC23" s="17"/>
      <c r="AD23" s="7"/>
      <c r="AE23" s="7"/>
      <c r="AF23" s="178"/>
      <c r="AG23" s="178"/>
      <c r="AH23" s="178"/>
      <c r="AI23" s="178"/>
      <c r="AJ23" s="178"/>
      <c r="AK23" s="178"/>
      <c r="AL23" s="178"/>
      <c r="AM23" s="178"/>
      <c r="AN23" s="178"/>
    </row>
    <row r="24" spans="1:40">
      <c r="A24" s="17"/>
      <c r="B24" s="17"/>
      <c r="C24" s="17"/>
      <c r="D24" s="17"/>
      <c r="E24" s="17"/>
      <c r="F24" s="17"/>
      <c r="G24" s="17"/>
      <c r="H24" s="17"/>
      <c r="I24" s="17"/>
      <c r="J24" s="17"/>
      <c r="K24" s="7"/>
      <c r="L24" s="69" t="s">
        <v>115</v>
      </c>
      <c r="M24" s="129">
        <v>0</v>
      </c>
      <c r="N24" s="84">
        <f>+mensual!V35</f>
        <v>0.23123411374979561</v>
      </c>
      <c r="O24" s="82">
        <f t="shared" si="3"/>
        <v>0</v>
      </c>
      <c r="P24" s="7"/>
      <c r="Q24" s="17"/>
      <c r="R24" s="17"/>
      <c r="S24" s="55"/>
      <c r="T24" s="178"/>
      <c r="U24" s="178"/>
      <c r="V24" s="7"/>
      <c r="W24" s="7"/>
      <c r="X24" s="7"/>
      <c r="Y24" s="7"/>
      <c r="Z24" s="509"/>
      <c r="AA24" s="7"/>
      <c r="AB24" s="7"/>
      <c r="AC24" s="7"/>
      <c r="AD24" s="7"/>
      <c r="AE24" s="7"/>
      <c r="AF24" s="178"/>
      <c r="AG24" s="178"/>
      <c r="AH24" s="178"/>
      <c r="AI24" s="178"/>
      <c r="AJ24" s="178"/>
      <c r="AK24" s="178"/>
      <c r="AL24" s="178"/>
      <c r="AM24" s="178"/>
      <c r="AN24" s="178"/>
    </row>
    <row r="25" spans="1:40" ht="13.5" thickBot="1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7"/>
      <c r="L25" s="69" t="s">
        <v>116</v>
      </c>
      <c r="M25" s="129">
        <v>0</v>
      </c>
      <c r="N25" s="84">
        <f>+mensual!V36</f>
        <v>0.37123881406992998</v>
      </c>
      <c r="O25" s="82">
        <f>+N25*M25/$M$36</f>
        <v>0</v>
      </c>
      <c r="P25" s="7"/>
      <c r="Q25" s="17"/>
      <c r="R25" s="17"/>
      <c r="S25" s="55"/>
      <c r="T25" s="178"/>
      <c r="U25" s="178"/>
      <c r="V25" s="8" t="s">
        <v>107</v>
      </c>
      <c r="W25" s="9"/>
      <c r="X25" s="9"/>
      <c r="Y25" s="9"/>
      <c r="Z25" s="9"/>
      <c r="AA25" s="9"/>
      <c r="AB25" s="9"/>
      <c r="AC25" s="10"/>
      <c r="AD25" s="7"/>
      <c r="AE25" s="7"/>
      <c r="AF25" s="178"/>
      <c r="AG25" s="178"/>
      <c r="AH25" s="178"/>
      <c r="AI25" s="178"/>
      <c r="AJ25" s="178"/>
      <c r="AK25" s="178"/>
      <c r="AL25" s="178"/>
      <c r="AM25" s="178"/>
      <c r="AN25" s="178"/>
    </row>
    <row r="26" spans="1:40" ht="13.5" thickBot="1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69" t="s">
        <v>117</v>
      </c>
      <c r="M26" s="129">
        <v>0</v>
      </c>
      <c r="N26" s="84">
        <f>+mensual!V37</f>
        <v>0.40319968416704927</v>
      </c>
      <c r="O26" s="82">
        <f>+N26*M26/$M$36</f>
        <v>0</v>
      </c>
      <c r="P26" s="7"/>
      <c r="Q26" s="17"/>
      <c r="R26" s="17"/>
      <c r="S26" s="55"/>
      <c r="T26" s="178"/>
      <c r="U26" s="178"/>
      <c r="V26" s="251" t="s">
        <v>405</v>
      </c>
      <c r="W26" s="25"/>
      <c r="X26" s="25"/>
      <c r="Y26" s="62">
        <f>+AA20*(X23-H3)*3600/4186/Z6</f>
        <v>7029.0177029172855</v>
      </c>
      <c r="Z26" s="63" t="s">
        <v>75</v>
      </c>
      <c r="AA26" s="25"/>
      <c r="AB26" s="25"/>
      <c r="AC26" s="15"/>
      <c r="AD26" s="7"/>
      <c r="AE26" s="7"/>
      <c r="AF26" s="178"/>
      <c r="AG26" s="178"/>
      <c r="AH26" s="178"/>
      <c r="AI26" s="178"/>
      <c r="AJ26" s="178"/>
      <c r="AK26" s="178"/>
      <c r="AL26" s="178"/>
      <c r="AM26" s="178"/>
      <c r="AN26" s="178"/>
    </row>
    <row r="27" spans="1:40">
      <c r="A27" s="178"/>
      <c r="B27" s="178"/>
      <c r="C27" s="178"/>
      <c r="D27" s="178"/>
      <c r="E27" s="178"/>
      <c r="F27" s="178"/>
      <c r="G27" s="178"/>
      <c r="H27" s="178"/>
      <c r="I27" s="171"/>
      <c r="J27" s="165"/>
      <c r="K27" s="7"/>
      <c r="L27" s="69" t="s">
        <v>118</v>
      </c>
      <c r="M27" s="129">
        <v>0</v>
      </c>
      <c r="N27" s="84">
        <f>+mensual!V38</f>
        <v>0.47281798127949254</v>
      </c>
      <c r="O27" s="82">
        <f>+N27*M27/$M$36</f>
        <v>0</v>
      </c>
      <c r="P27" s="7"/>
      <c r="Q27" s="17"/>
      <c r="R27" s="17"/>
      <c r="S27" s="55"/>
      <c r="T27" s="178"/>
      <c r="U27" s="178"/>
      <c r="V27" s="140" t="s">
        <v>433</v>
      </c>
      <c r="W27" s="7"/>
      <c r="X27" s="178"/>
      <c r="Y27" s="178"/>
      <c r="Z27" s="7"/>
      <c r="AA27" s="7"/>
      <c r="AB27" s="7"/>
      <c r="AC27" s="7"/>
      <c r="AD27" s="7"/>
      <c r="AE27" s="7"/>
      <c r="AF27" s="178"/>
      <c r="AG27" s="178"/>
      <c r="AH27" s="178"/>
      <c r="AI27" s="178"/>
      <c r="AJ27" s="178"/>
      <c r="AK27" s="178"/>
      <c r="AL27" s="178"/>
      <c r="AM27" s="178"/>
      <c r="AN27" s="178"/>
    </row>
    <row r="28" spans="1:40">
      <c r="A28" s="178"/>
      <c r="B28" s="178"/>
      <c r="C28" s="178"/>
      <c r="D28" s="178"/>
      <c r="E28" s="178"/>
      <c r="F28" s="178"/>
      <c r="G28" s="178"/>
      <c r="H28" s="178"/>
      <c r="I28" s="171"/>
      <c r="J28" s="165"/>
      <c r="K28" s="7"/>
      <c r="L28" s="29"/>
      <c r="M28" s="17"/>
      <c r="N28" s="82"/>
      <c r="O28" s="82"/>
      <c r="P28" s="7"/>
      <c r="Q28" s="17"/>
      <c r="R28" s="17"/>
      <c r="S28" s="55"/>
      <c r="T28" s="178"/>
      <c r="U28" s="178"/>
      <c r="V28" s="76" t="s">
        <v>432</v>
      </c>
      <c r="W28" s="7"/>
      <c r="X28" s="178"/>
      <c r="Y28" s="178"/>
      <c r="Z28" s="178"/>
      <c r="AA28" s="178"/>
      <c r="AB28" s="87">
        <f>+H4</f>
        <v>-1.3137199999999998</v>
      </c>
      <c r="AC28" s="87" t="str">
        <f>+I4</f>
        <v>°C</v>
      </c>
      <c r="AD28" s="7"/>
      <c r="AE28" s="7"/>
      <c r="AF28" s="178"/>
      <c r="AG28" s="178"/>
      <c r="AH28" s="178"/>
      <c r="AI28" s="178"/>
      <c r="AJ28" s="178"/>
      <c r="AK28" s="178"/>
      <c r="AL28" s="178"/>
      <c r="AM28" s="178"/>
      <c r="AN28" s="178"/>
    </row>
    <row r="29" spans="1:40">
      <c r="A29" s="178"/>
      <c r="B29" s="178"/>
      <c r="C29" s="178"/>
      <c r="D29" s="178"/>
      <c r="E29" s="178"/>
      <c r="F29" s="178"/>
      <c r="G29" s="178"/>
      <c r="H29" s="178"/>
      <c r="I29" s="165"/>
      <c r="J29" s="7"/>
      <c r="K29" s="7"/>
      <c r="L29" s="74" t="s">
        <v>142</v>
      </c>
      <c r="M29" s="71" t="s">
        <v>108</v>
      </c>
      <c r="N29" s="85" t="s">
        <v>76</v>
      </c>
      <c r="O29" s="83" t="s">
        <v>76</v>
      </c>
      <c r="P29" s="7"/>
      <c r="Q29" s="17"/>
      <c r="R29" s="17"/>
      <c r="S29" s="55"/>
      <c r="T29" s="178"/>
      <c r="U29" s="178"/>
      <c r="V29" s="178"/>
      <c r="W29" s="178"/>
      <c r="X29" s="178"/>
      <c r="Y29" s="178"/>
      <c r="Z29" s="178"/>
      <c r="AA29" s="178"/>
      <c r="AB29" s="178"/>
      <c r="AC29" s="178"/>
      <c r="AD29" s="178"/>
      <c r="AE29" s="178"/>
      <c r="AF29" s="178"/>
      <c r="AG29" s="178"/>
      <c r="AH29" s="178"/>
      <c r="AI29" s="178"/>
      <c r="AJ29" s="178"/>
      <c r="AK29" s="178"/>
      <c r="AL29" s="178"/>
      <c r="AM29" s="178"/>
      <c r="AN29" s="178"/>
    </row>
    <row r="30" spans="1:40">
      <c r="A30" s="178"/>
      <c r="B30" s="178"/>
      <c r="C30" s="178"/>
      <c r="D30" s="178"/>
      <c r="E30" s="178"/>
      <c r="F30" s="178"/>
      <c r="G30" s="178"/>
      <c r="H30" s="178"/>
      <c r="I30" s="165"/>
      <c r="J30" s="7"/>
      <c r="K30" s="7"/>
      <c r="L30" s="29"/>
      <c r="M30" s="17" t="s">
        <v>139</v>
      </c>
      <c r="N30" s="82" t="s">
        <v>135</v>
      </c>
      <c r="O30" s="82" t="s">
        <v>136</v>
      </c>
      <c r="P30" s="7"/>
      <c r="Q30" s="17"/>
      <c r="R30" s="17"/>
      <c r="S30" s="55"/>
      <c r="T30" s="178"/>
      <c r="U30" s="178"/>
      <c r="V30" s="178"/>
      <c r="W30" s="178"/>
      <c r="X30" s="178"/>
      <c r="Y30" s="178"/>
      <c r="Z30" s="178"/>
      <c r="AA30" s="178"/>
      <c r="AB30" s="178"/>
      <c r="AC30" s="178"/>
      <c r="AD30" s="178"/>
      <c r="AE30" s="178"/>
      <c r="AF30" s="178"/>
      <c r="AG30" s="178"/>
      <c r="AH30" s="178"/>
      <c r="AI30" s="178"/>
      <c r="AJ30" s="178"/>
      <c r="AK30" s="178"/>
      <c r="AL30" s="178"/>
      <c r="AM30" s="178"/>
      <c r="AN30" s="178"/>
    </row>
    <row r="31" spans="1:40">
      <c r="A31" s="178"/>
      <c r="B31" s="178"/>
      <c r="C31" s="178"/>
      <c r="D31" s="178"/>
      <c r="E31" s="178"/>
      <c r="F31" s="178"/>
      <c r="G31" s="178"/>
      <c r="H31" s="178"/>
      <c r="I31" s="165"/>
      <c r="J31" s="7"/>
      <c r="K31" s="7"/>
      <c r="L31" s="69" t="s">
        <v>119</v>
      </c>
      <c r="M31" s="129">
        <v>0</v>
      </c>
      <c r="N31" s="84">
        <f>+mensual!V39</f>
        <v>0.23005836511561031</v>
      </c>
      <c r="O31" s="82">
        <f>+N31*M31/$M$36</f>
        <v>0</v>
      </c>
      <c r="P31" s="7"/>
      <c r="Q31" s="17"/>
      <c r="R31" s="17"/>
      <c r="S31" s="55"/>
      <c r="T31" s="178"/>
      <c r="U31" s="178"/>
      <c r="V31" s="178"/>
      <c r="W31" s="178"/>
      <c r="X31" s="178"/>
      <c r="Y31" s="178"/>
      <c r="Z31" s="178"/>
      <c r="AA31" s="178"/>
      <c r="AB31" s="178"/>
      <c r="AC31" s="178"/>
      <c r="AD31" s="178"/>
      <c r="AE31" s="178"/>
      <c r="AF31" s="178"/>
      <c r="AG31" s="178"/>
      <c r="AH31" s="178"/>
      <c r="AI31" s="178"/>
      <c r="AJ31" s="178"/>
      <c r="AK31" s="178"/>
      <c r="AL31" s="178"/>
      <c r="AM31" s="178"/>
      <c r="AN31" s="178"/>
    </row>
    <row r="32" spans="1:40">
      <c r="A32" s="178"/>
      <c r="B32" s="178"/>
      <c r="C32" s="178"/>
      <c r="D32" s="178"/>
      <c r="E32" s="178"/>
      <c r="F32" s="178"/>
      <c r="G32" s="178"/>
      <c r="H32" s="178"/>
      <c r="I32" s="165"/>
      <c r="J32" s="7"/>
      <c r="K32" s="7"/>
      <c r="L32" s="69" t="s">
        <v>120</v>
      </c>
      <c r="M32" s="129">
        <v>0</v>
      </c>
      <c r="N32" s="84">
        <f>+mensual!V40</f>
        <v>0.19387059255203706</v>
      </c>
      <c r="O32" s="82">
        <f>+N32*M32/$M$36</f>
        <v>0</v>
      </c>
      <c r="P32" s="7"/>
      <c r="Q32" s="17"/>
      <c r="R32" s="17"/>
      <c r="S32" s="55"/>
      <c r="T32" s="178"/>
      <c r="U32" s="178"/>
      <c r="V32" s="178"/>
      <c r="W32" s="178"/>
      <c r="X32" s="178"/>
      <c r="Y32" s="178"/>
      <c r="Z32" s="178"/>
      <c r="AA32" s="178"/>
      <c r="AB32" s="178"/>
      <c r="AC32" s="178"/>
      <c r="AD32" s="178"/>
      <c r="AE32" s="178"/>
      <c r="AF32" s="178"/>
      <c r="AG32" s="178"/>
      <c r="AH32" s="178"/>
      <c r="AI32" s="178"/>
      <c r="AJ32" s="178"/>
      <c r="AK32" s="178"/>
      <c r="AL32" s="178"/>
      <c r="AM32" s="178"/>
      <c r="AN32" s="178"/>
    </row>
    <row r="33" spans="1:40">
      <c r="A33" s="178"/>
      <c r="B33" s="178"/>
      <c r="C33" s="178"/>
      <c r="D33" s="178"/>
      <c r="E33" s="178"/>
      <c r="F33" s="178"/>
      <c r="G33" s="178"/>
      <c r="H33" s="178"/>
      <c r="I33" s="165"/>
      <c r="J33" s="7"/>
      <c r="K33" s="7"/>
      <c r="L33" s="69" t="s">
        <v>127</v>
      </c>
      <c r="M33" s="129">
        <v>0</v>
      </c>
      <c r="N33" s="84">
        <f>+mensual!V41</f>
        <v>0.39532420654899775</v>
      </c>
      <c r="O33" s="82">
        <f>+N33*M33/$M$36</f>
        <v>0</v>
      </c>
      <c r="P33" s="7"/>
      <c r="Q33" s="17"/>
      <c r="R33" s="17"/>
      <c r="S33" s="55"/>
      <c r="T33" s="178"/>
      <c r="U33" s="178"/>
      <c r="V33" s="178"/>
      <c r="W33" s="178"/>
      <c r="X33" s="178"/>
      <c r="Y33" s="178"/>
      <c r="Z33" s="178"/>
      <c r="AA33" s="178"/>
      <c r="AB33" s="178"/>
      <c r="AC33" s="178"/>
      <c r="AD33" s="178"/>
      <c r="AE33" s="178"/>
      <c r="AF33" s="178"/>
      <c r="AG33" s="178"/>
      <c r="AH33" s="178"/>
      <c r="AI33" s="178"/>
      <c r="AJ33" s="178"/>
      <c r="AK33" s="178"/>
      <c r="AL33" s="178"/>
      <c r="AM33" s="178"/>
      <c r="AN33" s="178"/>
    </row>
    <row r="34" spans="1:40">
      <c r="A34" s="178"/>
      <c r="B34" s="178"/>
      <c r="C34" s="178"/>
      <c r="D34" s="178"/>
      <c r="E34" s="178"/>
      <c r="F34" s="178"/>
      <c r="G34" s="178"/>
      <c r="H34" s="178"/>
      <c r="I34" s="165"/>
      <c r="J34" s="7"/>
      <c r="K34" s="7"/>
      <c r="L34" s="69" t="s">
        <v>128</v>
      </c>
      <c r="M34" s="129">
        <v>0</v>
      </c>
      <c r="N34" s="84">
        <f>+mensual!V42</f>
        <v>0.38183593123578108</v>
      </c>
      <c r="O34" s="82">
        <f>+N34*M34/$M$36</f>
        <v>0</v>
      </c>
      <c r="P34" s="7"/>
      <c r="Q34" s="17"/>
      <c r="R34" s="17"/>
      <c r="S34" s="55"/>
      <c r="T34" s="178"/>
      <c r="U34" s="178"/>
      <c r="V34" s="178"/>
      <c r="W34" s="178"/>
      <c r="X34" s="178"/>
      <c r="Y34" s="178"/>
      <c r="Z34" s="178"/>
      <c r="AA34" s="178"/>
      <c r="AB34" s="178"/>
      <c r="AC34" s="178"/>
      <c r="AD34" s="178"/>
      <c r="AE34" s="178"/>
      <c r="AF34" s="178"/>
      <c r="AG34" s="178"/>
      <c r="AH34" s="178"/>
      <c r="AI34" s="178"/>
      <c r="AJ34" s="178"/>
      <c r="AK34" s="178"/>
      <c r="AL34" s="178"/>
      <c r="AM34" s="178"/>
      <c r="AN34" s="178"/>
    </row>
    <row r="35" spans="1:40">
      <c r="A35" s="178"/>
      <c r="B35" s="178"/>
      <c r="C35" s="178"/>
      <c r="D35" s="178"/>
      <c r="E35" s="178"/>
      <c r="F35" s="178"/>
      <c r="G35" s="178"/>
      <c r="H35" s="178"/>
      <c r="I35" s="165"/>
      <c r="J35" s="7"/>
      <c r="K35" s="7"/>
      <c r="L35" s="29"/>
      <c r="M35" s="17"/>
      <c r="N35" s="17"/>
      <c r="O35" s="7"/>
      <c r="P35" s="17"/>
      <c r="Q35" s="17"/>
      <c r="R35" s="17"/>
      <c r="S35" s="55"/>
      <c r="T35" s="178"/>
      <c r="U35" s="178"/>
      <c r="V35" s="178"/>
      <c r="W35" s="178"/>
      <c r="X35" s="178"/>
      <c r="Y35" s="178"/>
      <c r="Z35" s="178"/>
      <c r="AA35" s="178"/>
      <c r="AB35" s="178"/>
      <c r="AC35" s="178"/>
      <c r="AD35" s="178"/>
      <c r="AE35" s="178"/>
      <c r="AF35" s="178"/>
      <c r="AG35" s="178"/>
      <c r="AH35" s="178"/>
      <c r="AI35" s="178"/>
      <c r="AJ35" s="178"/>
      <c r="AK35" s="178"/>
      <c r="AL35" s="178"/>
      <c r="AM35" s="178"/>
      <c r="AN35" s="178"/>
    </row>
    <row r="36" spans="1:40" ht="13.5" thickBot="1">
      <c r="A36" s="178"/>
      <c r="B36" s="178"/>
      <c r="C36" s="178"/>
      <c r="D36" s="178"/>
      <c r="E36" s="178"/>
      <c r="F36" s="178"/>
      <c r="G36" s="178"/>
      <c r="H36" s="178"/>
      <c r="I36" s="165"/>
      <c r="J36" s="7"/>
      <c r="K36" s="7"/>
      <c r="L36" s="53" t="s">
        <v>0</v>
      </c>
      <c r="M36" s="70">
        <f>SUM(M9:M34)</f>
        <v>18</v>
      </c>
      <c r="N36" s="47" t="s">
        <v>27</v>
      </c>
      <c r="O36" s="47"/>
      <c r="P36" s="54"/>
      <c r="Q36" s="47"/>
      <c r="R36" s="70"/>
      <c r="S36" s="49"/>
      <c r="T36" s="178"/>
      <c r="U36" s="178"/>
      <c r="V36" s="178"/>
      <c r="W36" s="178"/>
      <c r="X36" s="178"/>
      <c r="Y36" s="178"/>
      <c r="Z36" s="178"/>
      <c r="AA36" s="178"/>
      <c r="AB36" s="178"/>
      <c r="AC36" s="178"/>
      <c r="AD36" s="178"/>
      <c r="AE36" s="178"/>
      <c r="AF36" s="178"/>
      <c r="AG36" s="178"/>
      <c r="AH36" s="178"/>
      <c r="AI36" s="178"/>
      <c r="AJ36" s="178"/>
      <c r="AK36" s="178"/>
      <c r="AL36" s="178"/>
      <c r="AM36" s="178"/>
      <c r="AN36" s="178"/>
    </row>
    <row r="37" spans="1:40">
      <c r="A37" s="178"/>
      <c r="B37" s="178"/>
      <c r="C37" s="178"/>
      <c r="D37" s="178"/>
      <c r="E37" s="178"/>
      <c r="F37" s="178"/>
      <c r="G37" s="178"/>
      <c r="H37" s="178"/>
      <c r="I37" s="165"/>
      <c r="J37" s="7"/>
      <c r="K37" s="7"/>
      <c r="L37" s="68" t="s">
        <v>145</v>
      </c>
      <c r="M37" s="27"/>
      <c r="N37" s="27"/>
      <c r="O37" s="27"/>
      <c r="P37" s="27"/>
      <c r="Q37" s="86">
        <f>SUM(O9:O34)</f>
        <v>0.42752141678477412</v>
      </c>
      <c r="R37" s="27"/>
      <c r="S37" s="28"/>
      <c r="T37" s="178"/>
      <c r="U37" s="178"/>
      <c r="V37" s="178"/>
      <c r="W37" s="178"/>
      <c r="X37" s="178"/>
      <c r="Y37" s="178"/>
      <c r="Z37" s="178"/>
      <c r="AA37" s="178"/>
      <c r="AB37" s="178"/>
      <c r="AC37" s="178"/>
      <c r="AD37" s="178"/>
      <c r="AE37" s="178"/>
      <c r="AF37" s="178"/>
      <c r="AG37" s="178"/>
      <c r="AH37" s="178"/>
      <c r="AI37" s="178"/>
      <c r="AJ37" s="178"/>
      <c r="AK37" s="178"/>
      <c r="AL37" s="178"/>
      <c r="AM37" s="178"/>
      <c r="AN37" s="178"/>
    </row>
    <row r="38" spans="1:40" ht="13.5" thickBot="1">
      <c r="A38" s="178"/>
      <c r="B38" s="178"/>
      <c r="C38" s="178"/>
      <c r="D38" s="178"/>
      <c r="E38" s="178"/>
      <c r="F38" s="178"/>
      <c r="G38" s="178"/>
      <c r="H38" s="178"/>
      <c r="I38" s="165"/>
      <c r="J38" s="7"/>
      <c r="K38" s="7"/>
      <c r="L38" s="31" t="s">
        <v>146</v>
      </c>
      <c r="M38" s="47"/>
      <c r="N38" s="47"/>
      <c r="O38" s="47"/>
      <c r="P38" s="47"/>
      <c r="Q38" s="47"/>
      <c r="R38" s="47"/>
      <c r="S38" s="49"/>
      <c r="T38" s="178"/>
      <c r="U38" s="178"/>
      <c r="V38" s="178"/>
      <c r="W38" s="178"/>
      <c r="X38" s="178"/>
      <c r="Y38" s="178"/>
      <c r="Z38" s="178"/>
      <c r="AA38" s="178"/>
      <c r="AB38" s="178"/>
      <c r="AC38" s="178"/>
      <c r="AD38" s="178"/>
      <c r="AE38" s="178"/>
      <c r="AF38" s="178"/>
      <c r="AG38" s="178"/>
      <c r="AH38" s="178"/>
      <c r="AI38" s="178"/>
      <c r="AJ38" s="178"/>
      <c r="AK38" s="178"/>
      <c r="AL38" s="178"/>
      <c r="AM38" s="178"/>
      <c r="AN38" s="178"/>
    </row>
    <row r="39" spans="1:40" ht="13.5" thickBot="1">
      <c r="A39" s="178"/>
      <c r="B39" s="178"/>
      <c r="C39" s="178"/>
      <c r="D39" s="178"/>
      <c r="E39" s="178"/>
      <c r="F39" s="178"/>
      <c r="G39" s="178"/>
      <c r="H39" s="178"/>
      <c r="I39" s="165"/>
      <c r="J39" s="7"/>
      <c r="K39" s="7"/>
      <c r="L39" s="7"/>
      <c r="M39" s="7"/>
      <c r="N39" s="7"/>
      <c r="O39" s="7"/>
      <c r="P39" s="7"/>
      <c r="Q39" s="7"/>
      <c r="R39" s="7"/>
      <c r="S39" s="7"/>
      <c r="T39" s="178"/>
      <c r="U39" s="178"/>
      <c r="V39" s="178"/>
      <c r="W39" s="178"/>
      <c r="X39" s="178"/>
      <c r="Y39" s="178"/>
      <c r="Z39" s="178"/>
      <c r="AA39" s="178"/>
      <c r="AB39" s="178"/>
      <c r="AC39" s="178"/>
      <c r="AD39" s="178"/>
      <c r="AE39" s="178"/>
      <c r="AF39" s="178"/>
      <c r="AG39" s="178"/>
      <c r="AH39" s="178"/>
      <c r="AI39" s="178"/>
      <c r="AJ39" s="178"/>
      <c r="AK39" s="178"/>
      <c r="AL39" s="178"/>
      <c r="AM39" s="178"/>
      <c r="AN39" s="178"/>
    </row>
    <row r="40" spans="1:40">
      <c r="A40" s="178"/>
      <c r="B40" s="178"/>
      <c r="C40" s="178"/>
      <c r="D40" s="178"/>
      <c r="E40" s="178"/>
      <c r="F40" s="178"/>
      <c r="G40" s="178"/>
      <c r="H40" s="178"/>
      <c r="I40" s="165"/>
      <c r="J40" s="7"/>
      <c r="K40" s="7"/>
      <c r="L40" s="26" t="s">
        <v>318</v>
      </c>
      <c r="M40" s="27"/>
      <c r="N40" s="27"/>
      <c r="O40" s="27"/>
      <c r="P40" s="27"/>
      <c r="Q40" s="27"/>
      <c r="R40" s="27"/>
      <c r="S40" s="28"/>
      <c r="T40" s="178"/>
      <c r="U40" s="178"/>
      <c r="V40" s="178"/>
      <c r="W40" s="178"/>
      <c r="X40" s="178"/>
      <c r="Y40" s="178"/>
      <c r="Z40" s="178"/>
      <c r="AA40" s="178"/>
      <c r="AB40" s="178"/>
      <c r="AC40" s="178"/>
      <c r="AD40" s="178"/>
      <c r="AE40" s="178"/>
      <c r="AF40" s="178"/>
      <c r="AG40" s="178"/>
      <c r="AH40" s="178"/>
      <c r="AI40" s="178"/>
      <c r="AJ40" s="178"/>
      <c r="AK40" s="178"/>
      <c r="AL40" s="178"/>
      <c r="AM40" s="178"/>
      <c r="AN40" s="178"/>
    </row>
    <row r="41" spans="1:40">
      <c r="A41" s="178"/>
      <c r="B41" s="178"/>
      <c r="C41" s="178"/>
      <c r="D41" s="178"/>
      <c r="E41" s="178"/>
      <c r="F41" s="178"/>
      <c r="G41" s="178"/>
      <c r="H41" s="178"/>
      <c r="I41" s="165"/>
      <c r="J41" s="7"/>
      <c r="K41" s="7"/>
      <c r="L41" s="29"/>
      <c r="M41" s="17"/>
      <c r="N41" s="17"/>
      <c r="O41" s="17"/>
      <c r="P41" s="17"/>
      <c r="Q41" s="17"/>
      <c r="R41" s="17"/>
      <c r="S41" s="55"/>
      <c r="T41" s="178"/>
      <c r="U41" s="178"/>
      <c r="V41" s="178"/>
      <c r="W41" s="178"/>
      <c r="X41" s="178"/>
      <c r="Y41" s="178"/>
      <c r="Z41" s="178"/>
      <c r="AA41" s="178"/>
      <c r="AB41" s="178"/>
      <c r="AC41" s="178"/>
      <c r="AD41" s="178"/>
      <c r="AE41" s="178"/>
      <c r="AF41" s="178"/>
      <c r="AG41" s="178"/>
      <c r="AH41" s="178"/>
      <c r="AI41" s="178"/>
      <c r="AJ41" s="178"/>
      <c r="AK41" s="178"/>
      <c r="AL41" s="178"/>
      <c r="AM41" s="178"/>
      <c r="AN41" s="178"/>
    </row>
    <row r="42" spans="1:40" ht="13.5" thickBot="1">
      <c r="A42" s="178"/>
      <c r="B42" s="178"/>
      <c r="C42" s="178"/>
      <c r="D42" s="178"/>
      <c r="E42" s="178"/>
      <c r="F42" s="178"/>
      <c r="G42" s="178"/>
      <c r="H42" s="178"/>
      <c r="I42" s="165"/>
      <c r="J42" s="7"/>
      <c r="K42" s="7"/>
      <c r="L42" s="53" t="s">
        <v>20</v>
      </c>
      <c r="M42" s="125">
        <f>F21/M36</f>
        <v>12.555453906249999</v>
      </c>
      <c r="N42" s="47" t="s">
        <v>316</v>
      </c>
      <c r="O42" s="47"/>
      <c r="P42" s="47"/>
      <c r="Q42" s="47"/>
      <c r="R42" s="47"/>
      <c r="S42" s="49"/>
      <c r="T42" s="178"/>
      <c r="U42" s="178"/>
      <c r="V42" s="178"/>
      <c r="W42" s="178"/>
      <c r="X42" s="178"/>
      <c r="Y42" s="178"/>
      <c r="Z42" s="178"/>
      <c r="AA42" s="178"/>
      <c r="AB42" s="178"/>
      <c r="AC42" s="178"/>
      <c r="AD42" s="178"/>
      <c r="AE42" s="178"/>
      <c r="AF42" s="178"/>
      <c r="AG42" s="178"/>
      <c r="AH42" s="178"/>
      <c r="AI42" s="178"/>
      <c r="AJ42" s="178"/>
      <c r="AK42" s="178"/>
      <c r="AL42" s="178"/>
      <c r="AM42" s="178"/>
      <c r="AN42" s="178"/>
    </row>
    <row r="43" spans="1:40">
      <c r="A43" s="178"/>
      <c r="B43" s="178"/>
      <c r="C43" s="178"/>
      <c r="D43" s="178"/>
      <c r="E43" s="178"/>
      <c r="F43" s="178"/>
      <c r="G43" s="178"/>
      <c r="H43" s="178"/>
      <c r="I43" s="165"/>
      <c r="J43" s="7"/>
      <c r="K43" s="7"/>
      <c r="L43" s="7"/>
      <c r="M43" s="7"/>
      <c r="N43" s="7"/>
      <c r="O43" s="7"/>
      <c r="P43" s="165"/>
      <c r="Q43" s="178"/>
      <c r="R43" s="178"/>
      <c r="S43" s="178"/>
      <c r="T43" s="178"/>
      <c r="U43" s="178"/>
      <c r="V43" s="178"/>
      <c r="W43" s="178"/>
      <c r="X43" s="178"/>
      <c r="Y43" s="178"/>
      <c r="Z43" s="178"/>
      <c r="AA43" s="178"/>
      <c r="AB43" s="178"/>
      <c r="AC43" s="178"/>
      <c r="AD43" s="178"/>
      <c r="AE43" s="178"/>
      <c r="AF43" s="178"/>
      <c r="AG43" s="178"/>
      <c r="AH43" s="178"/>
      <c r="AI43" s="178"/>
      <c r="AJ43" s="178"/>
      <c r="AK43" s="178"/>
      <c r="AL43" s="178"/>
      <c r="AM43" s="178"/>
      <c r="AN43" s="178"/>
    </row>
    <row r="44" spans="1:40">
      <c r="A44" s="178"/>
      <c r="B44" s="178"/>
      <c r="C44" s="178"/>
      <c r="D44" s="178"/>
      <c r="E44" s="178"/>
      <c r="F44" s="178"/>
      <c r="G44" s="178"/>
      <c r="H44" s="178"/>
      <c r="I44" s="165"/>
      <c r="J44" s="7"/>
      <c r="K44" s="7"/>
      <c r="L44" s="140" t="s">
        <v>624</v>
      </c>
      <c r="M44" s="7"/>
      <c r="N44" s="7"/>
      <c r="O44" s="7"/>
      <c r="P44" s="165"/>
      <c r="Q44" s="178"/>
      <c r="R44" s="178"/>
      <c r="S44" s="178"/>
      <c r="T44" s="178"/>
      <c r="U44" s="178"/>
      <c r="V44" s="178"/>
      <c r="W44" s="178"/>
      <c r="X44" s="178"/>
      <c r="Y44" s="178"/>
      <c r="Z44" s="178"/>
      <c r="AA44" s="178"/>
      <c r="AB44" s="178"/>
      <c r="AC44" s="178"/>
      <c r="AD44" s="178"/>
      <c r="AE44" s="178"/>
      <c r="AF44" s="178"/>
      <c r="AG44" s="178"/>
      <c r="AH44" s="178"/>
      <c r="AI44" s="178"/>
      <c r="AJ44" s="178"/>
      <c r="AK44" s="178"/>
      <c r="AL44" s="178"/>
      <c r="AM44" s="178"/>
      <c r="AN44" s="178"/>
    </row>
    <row r="45" spans="1:40">
      <c r="A45" s="178"/>
      <c r="B45" s="178"/>
      <c r="C45" s="178"/>
      <c r="D45" s="178"/>
      <c r="E45" s="178"/>
      <c r="F45" s="178"/>
      <c r="G45" s="178"/>
      <c r="H45" s="178"/>
      <c r="I45" s="165"/>
      <c r="J45" s="7"/>
      <c r="K45" s="7"/>
      <c r="L45" s="7" t="s">
        <v>625</v>
      </c>
      <c r="M45" s="7"/>
      <c r="N45" s="7"/>
      <c r="O45" s="7"/>
      <c r="P45" s="165"/>
      <c r="Q45" s="178"/>
      <c r="R45" s="178"/>
      <c r="S45" s="178"/>
      <c r="T45" s="178"/>
      <c r="U45" s="178"/>
      <c r="V45" s="178"/>
      <c r="W45" s="178"/>
      <c r="X45" s="178"/>
      <c r="Y45" s="178"/>
      <c r="Z45" s="178"/>
      <c r="AA45" s="178"/>
      <c r="AB45" s="178"/>
      <c r="AC45" s="178"/>
      <c r="AD45" s="178"/>
      <c r="AE45" s="178"/>
      <c r="AF45" s="178"/>
      <c r="AG45" s="178"/>
      <c r="AH45" s="178"/>
      <c r="AI45" s="178"/>
      <c r="AJ45" s="178"/>
      <c r="AK45" s="178"/>
      <c r="AL45" s="178"/>
      <c r="AM45" s="178"/>
      <c r="AN45" s="178"/>
    </row>
    <row r="46" spans="1:40">
      <c r="A46" s="178"/>
      <c r="B46" s="178"/>
      <c r="C46" s="178"/>
      <c r="D46" s="178"/>
      <c r="E46" s="178"/>
      <c r="F46" s="178"/>
      <c r="G46" s="178"/>
      <c r="H46" s="178"/>
      <c r="I46" s="165"/>
      <c r="J46" s="7"/>
      <c r="K46" s="7"/>
      <c r="L46" s="7"/>
      <c r="M46" s="7"/>
      <c r="N46" s="7"/>
      <c r="O46" s="7"/>
      <c r="P46" s="165"/>
      <c r="Q46" s="178"/>
      <c r="R46" s="178"/>
      <c r="S46" s="178"/>
      <c r="T46" s="178"/>
      <c r="U46" s="178"/>
      <c r="V46" s="178"/>
      <c r="W46" s="178"/>
      <c r="X46" s="178"/>
      <c r="Y46" s="178"/>
      <c r="Z46" s="178"/>
      <c r="AA46" s="178"/>
      <c r="AB46" s="178"/>
      <c r="AC46" s="178"/>
      <c r="AD46" s="178"/>
      <c r="AE46" s="178"/>
      <c r="AF46" s="178"/>
      <c r="AG46" s="178"/>
      <c r="AH46" s="178"/>
      <c r="AI46" s="178"/>
      <c r="AJ46" s="178"/>
      <c r="AK46" s="178"/>
      <c r="AL46" s="178"/>
      <c r="AM46" s="178"/>
      <c r="AN46" s="178"/>
    </row>
    <row r="47" spans="1:40">
      <c r="A47" s="178"/>
      <c r="B47" s="178"/>
      <c r="C47" s="178"/>
      <c r="D47" s="178"/>
      <c r="E47" s="178"/>
      <c r="F47" s="178"/>
      <c r="G47" s="178"/>
      <c r="H47" s="178"/>
      <c r="I47" s="165"/>
      <c r="J47" s="7"/>
      <c r="K47" s="7"/>
      <c r="L47" s="7"/>
      <c r="M47" s="7"/>
      <c r="N47" s="7"/>
      <c r="O47" s="7"/>
      <c r="P47" s="165"/>
      <c r="Q47" s="178"/>
      <c r="R47" s="178"/>
      <c r="S47" s="178"/>
      <c r="T47" s="178"/>
      <c r="U47" s="178"/>
      <c r="V47" s="178"/>
      <c r="W47" s="178"/>
      <c r="X47" s="178"/>
      <c r="Y47" s="178"/>
      <c r="Z47" s="178"/>
      <c r="AA47" s="178"/>
      <c r="AB47" s="178"/>
      <c r="AC47" s="178"/>
      <c r="AD47" s="178"/>
      <c r="AE47" s="178"/>
      <c r="AF47" s="178"/>
      <c r="AG47" s="178"/>
      <c r="AH47" s="178"/>
      <c r="AI47" s="178"/>
      <c r="AJ47" s="178"/>
      <c r="AK47" s="178"/>
      <c r="AL47" s="178"/>
      <c r="AM47" s="178"/>
      <c r="AN47" s="178"/>
    </row>
    <row r="48" spans="1:40">
      <c r="A48" s="178"/>
      <c r="B48" s="178"/>
      <c r="C48" s="178"/>
      <c r="D48" s="178"/>
      <c r="E48" s="178"/>
      <c r="F48" s="178"/>
      <c r="G48" s="178"/>
      <c r="H48" s="178"/>
      <c r="I48" s="165"/>
      <c r="J48" s="7"/>
      <c r="K48" s="7"/>
      <c r="L48" s="7"/>
      <c r="M48" s="7"/>
      <c r="N48" s="7"/>
      <c r="O48" s="7"/>
      <c r="P48" s="165"/>
      <c r="Q48" s="178"/>
      <c r="R48" s="178"/>
      <c r="S48" s="178"/>
      <c r="T48" s="178"/>
      <c r="U48" s="178"/>
      <c r="V48" s="178"/>
      <c r="W48" s="178"/>
      <c r="X48" s="178"/>
      <c r="Y48" s="178"/>
      <c r="Z48" s="178"/>
      <c r="AA48" s="178"/>
      <c r="AB48" s="178"/>
      <c r="AC48" s="178"/>
      <c r="AD48" s="178"/>
      <c r="AE48" s="178"/>
      <c r="AF48" s="178"/>
      <c r="AG48" s="178"/>
      <c r="AH48" s="178"/>
      <c r="AI48" s="178"/>
      <c r="AJ48" s="178"/>
      <c r="AK48" s="178"/>
      <c r="AL48" s="178"/>
      <c r="AM48" s="178"/>
      <c r="AN48" s="178"/>
    </row>
    <row r="49" spans="1:40">
      <c r="A49" s="178"/>
      <c r="B49" s="178"/>
      <c r="C49" s="178"/>
      <c r="D49" s="178"/>
      <c r="E49" s="178"/>
      <c r="F49" s="178"/>
      <c r="G49" s="178"/>
      <c r="H49" s="178"/>
      <c r="I49" s="165"/>
      <c r="J49" s="7"/>
      <c r="K49" s="7"/>
      <c r="L49" s="7"/>
      <c r="M49" s="7"/>
      <c r="N49" s="7"/>
      <c r="O49" s="7"/>
      <c r="P49" s="165"/>
      <c r="Q49" s="178"/>
      <c r="R49" s="178"/>
      <c r="S49" s="178"/>
      <c r="T49" s="178"/>
      <c r="U49" s="178"/>
      <c r="V49" s="178"/>
      <c r="W49" s="178"/>
      <c r="X49" s="178"/>
      <c r="Y49" s="178"/>
      <c r="Z49" s="178"/>
      <c r="AA49" s="178"/>
      <c r="AB49" s="178"/>
      <c r="AC49" s="178"/>
      <c r="AD49" s="178"/>
      <c r="AE49" s="178"/>
      <c r="AF49" s="178"/>
      <c r="AG49" s="178"/>
      <c r="AH49" s="178"/>
      <c r="AI49" s="178"/>
      <c r="AJ49" s="178"/>
      <c r="AK49" s="178"/>
      <c r="AL49" s="178"/>
      <c r="AM49" s="178"/>
      <c r="AN49" s="178"/>
    </row>
    <row r="50" spans="1:40">
      <c r="A50" s="178"/>
      <c r="B50" s="178"/>
      <c r="C50" s="178"/>
      <c r="D50" s="178"/>
      <c r="E50" s="178"/>
      <c r="F50" s="178"/>
      <c r="G50" s="178"/>
      <c r="H50" s="178"/>
      <c r="I50" s="165"/>
      <c r="J50" s="7"/>
      <c r="K50" s="7"/>
      <c r="L50" s="7"/>
      <c r="M50" s="7"/>
      <c r="N50" s="7"/>
      <c r="O50" s="7"/>
      <c r="P50" s="165"/>
      <c r="Q50" s="178"/>
      <c r="R50" s="178"/>
      <c r="S50" s="178"/>
      <c r="T50" s="178"/>
      <c r="U50" s="178"/>
      <c r="V50" s="178"/>
      <c r="W50" s="178"/>
      <c r="X50" s="178"/>
      <c r="Y50" s="178"/>
      <c r="Z50" s="178"/>
      <c r="AA50" s="178"/>
      <c r="AB50" s="178"/>
      <c r="AC50" s="178"/>
      <c r="AD50" s="178"/>
      <c r="AE50" s="178"/>
      <c r="AF50" s="178"/>
      <c r="AG50" s="178"/>
      <c r="AH50" s="178"/>
      <c r="AI50" s="178"/>
      <c r="AJ50" s="178"/>
      <c r="AK50" s="178"/>
      <c r="AL50" s="178"/>
      <c r="AM50" s="178"/>
      <c r="AN50" s="178"/>
    </row>
    <row r="51" spans="1:40">
      <c r="A51" s="178"/>
      <c r="B51" s="178"/>
      <c r="C51" s="178"/>
      <c r="D51" s="178"/>
      <c r="E51" s="178"/>
      <c r="F51" s="178"/>
      <c r="G51" s="178"/>
      <c r="H51" s="178"/>
      <c r="I51" s="165"/>
      <c r="J51" s="7"/>
      <c r="K51" s="7"/>
      <c r="L51" s="7"/>
      <c r="M51" s="7"/>
      <c r="N51" s="7"/>
      <c r="O51" s="7"/>
      <c r="P51" s="165"/>
      <c r="Q51" s="178"/>
      <c r="R51" s="178"/>
      <c r="S51" s="178"/>
      <c r="T51" s="178"/>
      <c r="U51" s="178"/>
      <c r="V51" s="178"/>
      <c r="W51" s="178"/>
      <c r="X51" s="178"/>
      <c r="Y51" s="178"/>
      <c r="Z51" s="178"/>
      <c r="AA51" s="178"/>
      <c r="AB51" s="178"/>
      <c r="AC51" s="178"/>
      <c r="AD51" s="178"/>
      <c r="AE51" s="178"/>
      <c r="AF51" s="178"/>
      <c r="AG51" s="178"/>
      <c r="AH51" s="178"/>
      <c r="AI51" s="178"/>
      <c r="AJ51" s="178"/>
      <c r="AK51" s="178"/>
      <c r="AL51" s="178"/>
      <c r="AM51" s="178"/>
      <c r="AN51" s="178"/>
    </row>
    <row r="52" spans="1:40">
      <c r="A52" s="178"/>
      <c r="B52" s="178"/>
      <c r="C52" s="178"/>
      <c r="D52" s="178"/>
      <c r="E52" s="178"/>
      <c r="F52" s="178"/>
      <c r="G52" s="178"/>
      <c r="H52" s="178"/>
      <c r="I52" s="165"/>
      <c r="J52" s="7"/>
      <c r="K52" s="7"/>
      <c r="L52" s="7"/>
      <c r="M52" s="7"/>
      <c r="N52" s="7"/>
      <c r="O52" s="7"/>
      <c r="P52" s="165"/>
      <c r="Q52" s="178"/>
      <c r="R52" s="178"/>
      <c r="S52" s="178"/>
      <c r="T52" s="178"/>
      <c r="U52" s="178"/>
      <c r="V52" s="178"/>
      <c r="W52" s="178"/>
      <c r="X52" s="178"/>
      <c r="Y52" s="178"/>
      <c r="Z52" s="178"/>
      <c r="AA52" s="178"/>
      <c r="AB52" s="178"/>
      <c r="AC52" s="178"/>
      <c r="AD52" s="178"/>
      <c r="AE52" s="178"/>
      <c r="AF52" s="178"/>
      <c r="AG52" s="178"/>
      <c r="AH52" s="178"/>
      <c r="AI52" s="178"/>
      <c r="AJ52" s="178"/>
      <c r="AK52" s="178"/>
      <c r="AL52" s="178"/>
      <c r="AM52" s="178"/>
      <c r="AN52" s="178"/>
    </row>
    <row r="53" spans="1:40">
      <c r="A53" s="178"/>
      <c r="B53" s="178"/>
      <c r="C53" s="178"/>
      <c r="D53" s="178"/>
      <c r="E53" s="178"/>
      <c r="F53" s="178"/>
      <c r="G53" s="178"/>
      <c r="H53" s="178"/>
      <c r="I53" s="165"/>
      <c r="J53" s="7"/>
      <c r="K53" s="7"/>
      <c r="L53" s="7"/>
      <c r="M53" s="7"/>
      <c r="N53" s="7"/>
      <c r="O53" s="7"/>
      <c r="P53" s="165"/>
      <c r="Q53" s="178"/>
      <c r="R53" s="178"/>
      <c r="S53" s="178"/>
      <c r="T53" s="178"/>
      <c r="U53" s="178"/>
      <c r="V53" s="178"/>
      <c r="W53" s="178"/>
      <c r="X53" s="178"/>
      <c r="Y53" s="178"/>
      <c r="Z53" s="178"/>
      <c r="AA53" s="178"/>
      <c r="AB53" s="178"/>
      <c r="AC53" s="178"/>
      <c r="AD53" s="178"/>
      <c r="AE53" s="178"/>
      <c r="AF53" s="178"/>
      <c r="AG53" s="178"/>
      <c r="AH53" s="178"/>
      <c r="AI53" s="178"/>
      <c r="AJ53" s="178"/>
      <c r="AK53" s="178"/>
      <c r="AL53" s="178"/>
      <c r="AM53" s="178"/>
      <c r="AN53" s="178"/>
    </row>
    <row r="54" spans="1:40">
      <c r="A54" s="178"/>
      <c r="B54" s="178"/>
      <c r="C54" s="178"/>
      <c r="D54" s="178"/>
      <c r="E54" s="178"/>
      <c r="F54" s="178"/>
      <c r="G54" s="178"/>
      <c r="H54" s="178"/>
      <c r="I54" s="165"/>
      <c r="J54" s="7"/>
      <c r="K54" s="7"/>
      <c r="L54" s="7"/>
      <c r="M54" s="7"/>
      <c r="N54" s="7"/>
      <c r="O54" s="7"/>
      <c r="P54" s="165"/>
      <c r="Q54" s="178"/>
      <c r="R54" s="178"/>
      <c r="S54" s="178"/>
      <c r="T54" s="178"/>
      <c r="U54" s="178"/>
      <c r="V54" s="178"/>
      <c r="W54" s="178"/>
      <c r="X54" s="178"/>
      <c r="Y54" s="178"/>
      <c r="Z54" s="178"/>
      <c r="AA54" s="178"/>
      <c r="AB54" s="178"/>
      <c r="AC54" s="178"/>
      <c r="AD54" s="178"/>
      <c r="AE54" s="178"/>
      <c r="AF54" s="178"/>
      <c r="AG54" s="178"/>
      <c r="AH54" s="178"/>
      <c r="AI54" s="178"/>
      <c r="AJ54" s="178"/>
      <c r="AK54" s="178"/>
      <c r="AL54" s="178"/>
      <c r="AM54" s="178"/>
      <c r="AN54" s="178"/>
    </row>
    <row r="55" spans="1:40">
      <c r="A55" s="178"/>
      <c r="B55" s="178"/>
      <c r="C55" s="178"/>
      <c r="D55" s="178"/>
      <c r="E55" s="178"/>
      <c r="F55" s="178"/>
      <c r="G55" s="178"/>
      <c r="H55" s="178"/>
      <c r="I55" s="165"/>
      <c r="J55" s="7"/>
      <c r="K55" s="7"/>
      <c r="L55" s="7"/>
      <c r="M55" s="7"/>
      <c r="N55" s="7"/>
      <c r="O55" s="7"/>
      <c r="P55" s="165"/>
      <c r="Q55" s="178"/>
      <c r="R55" s="178"/>
      <c r="S55" s="178"/>
      <c r="T55" s="178"/>
      <c r="U55" s="178"/>
      <c r="V55" s="178"/>
      <c r="W55" s="178"/>
      <c r="X55" s="178"/>
      <c r="Y55" s="178"/>
      <c r="Z55" s="178"/>
      <c r="AA55" s="178"/>
      <c r="AB55" s="178"/>
      <c r="AC55" s="178"/>
      <c r="AD55" s="178"/>
      <c r="AE55" s="178"/>
      <c r="AF55" s="178"/>
      <c r="AG55" s="178"/>
      <c r="AH55" s="178"/>
      <c r="AI55" s="178"/>
      <c r="AJ55" s="178"/>
      <c r="AK55" s="178"/>
      <c r="AL55" s="178"/>
      <c r="AM55" s="178"/>
      <c r="AN55" s="178"/>
    </row>
    <row r="56" spans="1:40">
      <c r="A56" s="178"/>
      <c r="B56" s="178"/>
      <c r="C56" s="178"/>
      <c r="D56" s="178"/>
      <c r="E56" s="178"/>
      <c r="F56" s="178"/>
      <c r="G56" s="178"/>
      <c r="H56" s="178"/>
      <c r="I56" s="165"/>
      <c r="J56" s="7"/>
      <c r="K56" s="7"/>
      <c r="L56" s="7"/>
      <c r="M56" s="7"/>
      <c r="N56" s="7"/>
      <c r="O56" s="7"/>
      <c r="P56" s="165"/>
      <c r="Q56" s="178"/>
      <c r="R56" s="178"/>
      <c r="S56" s="178"/>
      <c r="T56" s="178"/>
      <c r="U56" s="178"/>
      <c r="V56" s="178"/>
      <c r="W56" s="178"/>
      <c r="X56" s="178"/>
      <c r="Y56" s="178"/>
      <c r="Z56" s="178"/>
      <c r="AA56" s="178"/>
      <c r="AB56" s="178"/>
      <c r="AC56" s="178"/>
      <c r="AD56" s="178"/>
      <c r="AE56" s="178"/>
      <c r="AF56" s="178"/>
      <c r="AG56" s="178"/>
      <c r="AH56" s="178"/>
      <c r="AI56" s="178"/>
      <c r="AJ56" s="178"/>
      <c r="AK56" s="178"/>
      <c r="AL56" s="178"/>
      <c r="AM56" s="178"/>
      <c r="AN56" s="178"/>
    </row>
    <row r="57" spans="1:40">
      <c r="A57" s="178"/>
      <c r="B57" s="178"/>
      <c r="C57" s="178"/>
      <c r="D57" s="178"/>
      <c r="E57" s="178"/>
      <c r="F57" s="178"/>
      <c r="G57" s="178"/>
      <c r="H57" s="178"/>
      <c r="I57" s="165"/>
      <c r="J57" s="7"/>
      <c r="K57" s="7"/>
      <c r="L57" s="7"/>
      <c r="M57" s="7"/>
      <c r="N57" s="7"/>
      <c r="O57" s="7"/>
      <c r="P57" s="165"/>
      <c r="Q57" s="178"/>
      <c r="R57" s="178"/>
      <c r="S57" s="178"/>
      <c r="T57" s="178"/>
      <c r="U57" s="178"/>
      <c r="V57" s="178"/>
      <c r="W57" s="178"/>
      <c r="X57" s="178"/>
      <c r="Y57" s="178"/>
      <c r="Z57" s="178"/>
      <c r="AA57" s="178"/>
      <c r="AB57" s="178"/>
      <c r="AC57" s="178"/>
      <c r="AD57" s="178"/>
      <c r="AE57" s="178"/>
      <c r="AF57" s="178"/>
      <c r="AG57" s="178"/>
      <c r="AH57" s="178"/>
      <c r="AI57" s="178"/>
      <c r="AJ57" s="178"/>
      <c r="AK57" s="178"/>
      <c r="AL57" s="178"/>
      <c r="AM57" s="178"/>
      <c r="AN57" s="178"/>
    </row>
    <row r="58" spans="1:40">
      <c r="A58" s="178"/>
      <c r="B58" s="178"/>
      <c r="C58" s="178"/>
      <c r="D58" s="178"/>
      <c r="E58" s="178"/>
      <c r="F58" s="178"/>
      <c r="G58" s="178"/>
      <c r="H58" s="178"/>
      <c r="I58" s="165"/>
      <c r="J58" s="7"/>
      <c r="K58" s="7"/>
      <c r="L58" s="7"/>
      <c r="M58" s="7"/>
      <c r="N58" s="7"/>
      <c r="O58" s="7"/>
      <c r="P58" s="165"/>
      <c r="Q58" s="178"/>
      <c r="R58" s="178"/>
      <c r="S58" s="178"/>
      <c r="T58" s="178"/>
      <c r="U58" s="178"/>
      <c r="V58" s="178"/>
      <c r="W58" s="178"/>
      <c r="X58" s="178"/>
      <c r="Y58" s="178"/>
      <c r="Z58" s="178"/>
      <c r="AA58" s="178"/>
      <c r="AB58" s="178"/>
      <c r="AC58" s="178"/>
      <c r="AD58" s="178"/>
      <c r="AE58" s="178"/>
      <c r="AF58" s="178"/>
      <c r="AG58" s="178"/>
      <c r="AH58" s="178"/>
      <c r="AI58" s="178"/>
      <c r="AJ58" s="178"/>
      <c r="AK58" s="178"/>
      <c r="AL58" s="178"/>
      <c r="AM58" s="178"/>
      <c r="AN58" s="178"/>
    </row>
    <row r="59" spans="1:40">
      <c r="A59" s="178"/>
      <c r="B59" s="178"/>
      <c r="C59" s="178"/>
      <c r="D59" s="178"/>
      <c r="E59" s="178"/>
      <c r="F59" s="178"/>
      <c r="G59" s="178"/>
      <c r="H59" s="178"/>
      <c r="I59" s="171"/>
      <c r="J59" s="7"/>
      <c r="K59" s="7"/>
      <c r="L59" s="7"/>
      <c r="M59" s="7"/>
      <c r="N59" s="7"/>
      <c r="O59" s="7"/>
      <c r="P59" s="165"/>
      <c r="Q59" s="178"/>
      <c r="R59" s="178"/>
      <c r="S59" s="178"/>
      <c r="T59" s="178"/>
      <c r="U59" s="178"/>
      <c r="V59" s="178"/>
      <c r="W59" s="178"/>
      <c r="X59" s="178"/>
      <c r="Y59" s="178"/>
      <c r="Z59" s="178"/>
      <c r="AA59" s="178"/>
      <c r="AB59" s="178"/>
      <c r="AC59" s="178"/>
      <c r="AD59" s="178"/>
      <c r="AE59" s="178"/>
      <c r="AF59" s="178"/>
      <c r="AG59" s="178"/>
      <c r="AH59" s="178"/>
      <c r="AI59" s="178"/>
      <c r="AJ59" s="178"/>
      <c r="AK59" s="178"/>
      <c r="AL59" s="178"/>
      <c r="AM59" s="178"/>
      <c r="AN59" s="178"/>
    </row>
    <row r="60" spans="1:40">
      <c r="A60" s="178"/>
      <c r="B60" s="178"/>
      <c r="C60" s="178"/>
      <c r="D60" s="178"/>
      <c r="E60" s="178"/>
      <c r="F60" s="178"/>
      <c r="G60" s="178"/>
      <c r="H60" s="178"/>
      <c r="I60" s="165"/>
      <c r="J60" s="7"/>
      <c r="K60" s="7"/>
      <c r="L60" s="7"/>
      <c r="M60" s="7"/>
      <c r="N60" s="7"/>
      <c r="O60" s="7"/>
      <c r="P60" s="165"/>
      <c r="Q60" s="178"/>
      <c r="R60" s="178"/>
      <c r="S60" s="178"/>
      <c r="T60" s="178"/>
      <c r="U60" s="178"/>
      <c r="V60" s="178"/>
      <c r="W60" s="178"/>
      <c r="X60" s="178"/>
      <c r="Y60" s="178"/>
      <c r="Z60" s="178"/>
      <c r="AA60" s="178"/>
      <c r="AB60" s="178"/>
      <c r="AC60" s="178"/>
      <c r="AD60" s="178"/>
      <c r="AE60" s="178"/>
      <c r="AF60" s="178"/>
      <c r="AG60" s="178"/>
      <c r="AH60" s="178"/>
      <c r="AI60" s="178"/>
      <c r="AJ60" s="178"/>
      <c r="AK60" s="178"/>
      <c r="AL60" s="178"/>
      <c r="AM60" s="178"/>
      <c r="AN60" s="178"/>
    </row>
    <row r="61" spans="1:40">
      <c r="A61" s="178"/>
      <c r="B61" s="178"/>
      <c r="C61" s="178"/>
      <c r="D61" s="178"/>
      <c r="E61" s="178"/>
      <c r="F61" s="178"/>
      <c r="G61" s="178"/>
      <c r="H61" s="178"/>
      <c r="I61" s="165"/>
      <c r="J61" s="7"/>
      <c r="K61" s="7"/>
      <c r="L61" s="7"/>
      <c r="M61" s="7"/>
      <c r="N61" s="7"/>
      <c r="O61" s="7"/>
      <c r="P61" s="165"/>
      <c r="Q61" s="178"/>
      <c r="R61" s="178"/>
      <c r="S61" s="178"/>
      <c r="T61" s="178"/>
      <c r="U61" s="178"/>
      <c r="V61" s="178"/>
      <c r="W61" s="178"/>
      <c r="X61" s="178"/>
      <c r="Y61" s="178"/>
      <c r="Z61" s="178"/>
      <c r="AA61" s="178"/>
      <c r="AB61" s="178"/>
      <c r="AC61" s="178"/>
      <c r="AD61" s="178"/>
      <c r="AE61" s="178"/>
      <c r="AF61" s="178"/>
      <c r="AG61" s="178"/>
      <c r="AH61" s="178"/>
      <c r="AI61" s="178"/>
      <c r="AJ61" s="178"/>
      <c r="AK61" s="178"/>
      <c r="AL61" s="178"/>
      <c r="AM61" s="178"/>
      <c r="AN61" s="178"/>
    </row>
    <row r="62" spans="1:40">
      <c r="A62" s="178"/>
      <c r="B62" s="178"/>
      <c r="C62" s="178"/>
      <c r="D62" s="178"/>
      <c r="E62" s="178"/>
      <c r="F62" s="178"/>
      <c r="G62" s="178"/>
      <c r="H62" s="178"/>
      <c r="I62" s="165"/>
      <c r="J62" s="7"/>
      <c r="K62" s="7"/>
      <c r="L62" s="7"/>
      <c r="M62" s="7"/>
      <c r="N62" s="7"/>
      <c r="O62" s="7"/>
      <c r="P62" s="165"/>
      <c r="Q62" s="178"/>
      <c r="R62" s="178"/>
      <c r="S62" s="178"/>
      <c r="T62" s="178"/>
      <c r="U62" s="178"/>
      <c r="V62" s="178"/>
      <c r="W62" s="178"/>
      <c r="X62" s="178"/>
      <c r="Y62" s="178"/>
      <c r="Z62" s="178"/>
      <c r="AA62" s="178"/>
      <c r="AB62" s="178"/>
      <c r="AC62" s="178"/>
      <c r="AD62" s="178"/>
      <c r="AE62" s="178"/>
      <c r="AF62" s="178"/>
      <c r="AG62" s="178"/>
      <c r="AH62" s="178"/>
      <c r="AI62" s="178"/>
      <c r="AJ62" s="178"/>
      <c r="AK62" s="178"/>
      <c r="AL62" s="178"/>
      <c r="AM62" s="178"/>
      <c r="AN62" s="178"/>
    </row>
    <row r="63" spans="1:40">
      <c r="A63" s="178"/>
      <c r="B63" s="178"/>
      <c r="C63" s="178"/>
      <c r="D63" s="178"/>
      <c r="E63" s="178"/>
      <c r="F63" s="178"/>
      <c r="G63" s="178"/>
      <c r="H63" s="178"/>
      <c r="I63" s="165"/>
      <c r="J63" s="7"/>
      <c r="K63" s="7"/>
      <c r="L63" s="7"/>
      <c r="M63" s="7"/>
      <c r="N63" s="7"/>
      <c r="O63" s="7"/>
      <c r="P63" s="165"/>
      <c r="Q63" s="178"/>
      <c r="R63" s="178"/>
      <c r="S63" s="178"/>
      <c r="T63" s="178"/>
      <c r="U63" s="178"/>
      <c r="V63" s="178"/>
      <c r="W63" s="178"/>
      <c r="X63" s="178"/>
      <c r="Y63" s="178"/>
      <c r="Z63" s="178"/>
      <c r="AA63" s="178"/>
      <c r="AB63" s="178"/>
      <c r="AC63" s="178"/>
      <c r="AD63" s="178"/>
      <c r="AE63" s="178"/>
      <c r="AF63" s="178"/>
      <c r="AG63" s="178"/>
      <c r="AH63" s="178"/>
      <c r="AI63" s="178"/>
      <c r="AJ63" s="178"/>
      <c r="AK63" s="178"/>
      <c r="AL63" s="178"/>
      <c r="AM63" s="178"/>
      <c r="AN63" s="178"/>
    </row>
    <row r="64" spans="1:40">
      <c r="A64" s="178"/>
      <c r="B64" s="178"/>
      <c r="C64" s="178"/>
      <c r="D64" s="178"/>
      <c r="E64" s="178"/>
      <c r="F64" s="178"/>
      <c r="G64" s="178"/>
      <c r="H64" s="178"/>
      <c r="I64" s="165"/>
      <c r="J64" s="7"/>
      <c r="K64" s="7"/>
      <c r="L64" s="7"/>
      <c r="M64" s="7"/>
      <c r="N64" s="7"/>
      <c r="O64" s="7"/>
      <c r="P64" s="165"/>
      <c r="Q64" s="178"/>
      <c r="R64" s="178"/>
      <c r="S64" s="178"/>
      <c r="T64" s="178"/>
      <c r="U64" s="178"/>
      <c r="V64" s="178"/>
      <c r="W64" s="178"/>
      <c r="X64" s="178"/>
      <c r="Y64" s="178"/>
      <c r="Z64" s="178"/>
      <c r="AA64" s="178"/>
      <c r="AB64" s="178"/>
      <c r="AC64" s="178"/>
      <c r="AD64" s="178"/>
      <c r="AE64" s="178"/>
      <c r="AF64" s="178"/>
      <c r="AG64" s="178"/>
      <c r="AH64" s="178"/>
      <c r="AI64" s="178"/>
      <c r="AJ64" s="178"/>
      <c r="AK64" s="178"/>
      <c r="AL64" s="178"/>
      <c r="AM64" s="178"/>
      <c r="AN64" s="178"/>
    </row>
    <row r="65" spans="1:40">
      <c r="A65" s="165"/>
      <c r="B65" s="165"/>
      <c r="C65" s="165"/>
      <c r="D65" s="165"/>
      <c r="E65" s="165"/>
      <c r="F65" s="165"/>
      <c r="G65" s="165"/>
      <c r="H65" s="165"/>
      <c r="I65" s="165"/>
      <c r="J65" s="7"/>
      <c r="K65" s="7"/>
      <c r="L65" s="7"/>
      <c r="M65" s="7"/>
      <c r="N65" s="7"/>
      <c r="O65" s="7"/>
      <c r="P65" s="165"/>
      <c r="Q65" s="178"/>
      <c r="R65" s="178"/>
      <c r="S65" s="178"/>
      <c r="T65" s="178"/>
      <c r="U65" s="178"/>
      <c r="V65" s="178"/>
      <c r="W65" s="178"/>
      <c r="X65" s="178"/>
      <c r="Y65" s="178"/>
      <c r="Z65" s="178"/>
      <c r="AA65" s="178"/>
      <c r="AB65" s="178"/>
      <c r="AC65" s="178"/>
      <c r="AD65" s="178"/>
      <c r="AE65" s="178"/>
      <c r="AF65" s="178"/>
      <c r="AG65" s="178"/>
      <c r="AH65" s="178"/>
      <c r="AI65" s="178"/>
      <c r="AJ65" s="178"/>
      <c r="AK65" s="178"/>
      <c r="AL65" s="178"/>
      <c r="AM65" s="178"/>
      <c r="AN65" s="178"/>
    </row>
    <row r="66" spans="1:40">
      <c r="A66" s="178"/>
      <c r="B66" s="178"/>
      <c r="C66" s="178"/>
      <c r="D66" s="178"/>
      <c r="E66" s="178"/>
      <c r="F66" s="178"/>
      <c r="G66" s="178"/>
      <c r="H66" s="178"/>
      <c r="I66" s="178"/>
      <c r="K66" s="7"/>
      <c r="L66" s="7"/>
      <c r="M66" s="7"/>
      <c r="N66" s="7"/>
      <c r="O66" s="7"/>
      <c r="P66" s="165"/>
      <c r="Q66" s="178"/>
      <c r="R66" s="178"/>
      <c r="S66" s="178"/>
      <c r="T66" s="178"/>
      <c r="U66" s="178"/>
      <c r="V66" s="178"/>
      <c r="W66" s="178"/>
      <c r="X66" s="178"/>
      <c r="Y66" s="178"/>
      <c r="Z66" s="178"/>
      <c r="AA66" s="178"/>
      <c r="AB66" s="178"/>
      <c r="AC66" s="178"/>
      <c r="AD66" s="178"/>
      <c r="AE66" s="178"/>
      <c r="AF66" s="178"/>
      <c r="AG66" s="178"/>
      <c r="AH66" s="178"/>
      <c r="AI66" s="178"/>
      <c r="AJ66" s="178"/>
      <c r="AK66" s="178"/>
      <c r="AL66" s="178"/>
      <c r="AM66" s="178"/>
      <c r="AN66" s="178"/>
    </row>
    <row r="67" spans="1:40">
      <c r="A67" s="178"/>
      <c r="B67" s="178"/>
      <c r="C67" s="178"/>
      <c r="D67" s="178"/>
      <c r="E67" s="178"/>
      <c r="F67" s="178"/>
      <c r="G67" s="178"/>
      <c r="H67" s="178"/>
      <c r="I67" s="178"/>
      <c r="K67" s="7"/>
      <c r="L67" s="7"/>
      <c r="M67" s="7"/>
      <c r="N67" s="7"/>
      <c r="O67" s="7"/>
      <c r="P67" s="165"/>
      <c r="Q67" s="178"/>
      <c r="R67" s="178"/>
      <c r="S67" s="178"/>
      <c r="T67" s="178"/>
      <c r="U67" s="178"/>
      <c r="V67" s="178"/>
      <c r="W67" s="178"/>
      <c r="X67" s="178"/>
      <c r="Y67" s="178"/>
      <c r="Z67" s="178"/>
      <c r="AA67" s="178"/>
      <c r="AB67" s="178"/>
      <c r="AC67" s="178"/>
      <c r="AD67" s="178"/>
      <c r="AE67" s="178"/>
      <c r="AF67" s="178"/>
      <c r="AG67" s="178"/>
      <c r="AH67" s="178"/>
      <c r="AI67" s="178"/>
      <c r="AJ67" s="178"/>
      <c r="AK67" s="178"/>
      <c r="AL67" s="178"/>
      <c r="AM67" s="178"/>
      <c r="AN67" s="178"/>
    </row>
    <row r="68" spans="1:40" ht="18">
      <c r="A68" s="178"/>
      <c r="B68" s="178"/>
      <c r="C68" s="178"/>
      <c r="D68" s="178"/>
      <c r="E68" s="178"/>
      <c r="F68" s="178"/>
      <c r="G68" s="178"/>
      <c r="H68" s="178"/>
      <c r="I68" s="178"/>
      <c r="K68" s="130"/>
      <c r="L68" s="7"/>
      <c r="M68" s="7"/>
      <c r="N68" s="7"/>
      <c r="O68" s="7"/>
      <c r="P68" s="165"/>
      <c r="Q68" s="178"/>
      <c r="R68" s="178"/>
      <c r="S68" s="178"/>
      <c r="T68" s="178"/>
      <c r="U68" s="178"/>
      <c r="V68" s="178"/>
      <c r="W68" s="178"/>
      <c r="X68" s="178"/>
      <c r="Y68" s="178"/>
      <c r="Z68" s="178"/>
      <c r="AA68" s="178"/>
      <c r="AB68" s="178"/>
      <c r="AC68" s="178"/>
      <c r="AD68" s="178"/>
      <c r="AE68" s="178"/>
      <c r="AF68" s="178"/>
      <c r="AG68" s="178"/>
      <c r="AH68" s="178"/>
      <c r="AI68" s="178"/>
      <c r="AJ68" s="178"/>
      <c r="AK68" s="178"/>
      <c r="AL68" s="178"/>
      <c r="AM68" s="178"/>
      <c r="AN68" s="178"/>
    </row>
    <row r="69" spans="1:40">
      <c r="A69" s="178"/>
      <c r="B69" s="178"/>
      <c r="C69" s="178"/>
      <c r="D69" s="178"/>
      <c r="E69" s="178"/>
      <c r="F69" s="178"/>
      <c r="G69" s="178"/>
      <c r="H69" s="178"/>
      <c r="I69" s="178"/>
      <c r="K69" s="7"/>
      <c r="L69" s="7"/>
      <c r="M69" s="7"/>
      <c r="N69" s="7"/>
      <c r="O69" s="7"/>
      <c r="P69" s="165"/>
      <c r="Q69" s="178"/>
      <c r="R69" s="178"/>
      <c r="S69" s="178"/>
      <c r="T69" s="178"/>
      <c r="U69" s="178"/>
      <c r="V69" s="178"/>
      <c r="W69" s="178"/>
      <c r="X69" s="178"/>
      <c r="Y69" s="178"/>
      <c r="Z69" s="178"/>
      <c r="AA69" s="178"/>
      <c r="AB69" s="178"/>
      <c r="AC69" s="178"/>
      <c r="AD69" s="178"/>
      <c r="AE69" s="178"/>
      <c r="AF69" s="178"/>
      <c r="AG69" s="178"/>
      <c r="AH69" s="178"/>
      <c r="AI69" s="178"/>
      <c r="AJ69" s="178"/>
      <c r="AK69" s="178"/>
      <c r="AL69" s="178"/>
      <c r="AM69" s="178"/>
      <c r="AN69" s="178"/>
    </row>
    <row r="70" spans="1:40">
      <c r="A70" s="178"/>
      <c r="B70" s="178"/>
      <c r="C70" s="178"/>
      <c r="D70" s="178"/>
      <c r="E70" s="178"/>
      <c r="F70" s="178"/>
      <c r="G70" s="178"/>
      <c r="H70" s="178"/>
      <c r="I70" s="178"/>
      <c r="K70" s="7"/>
      <c r="L70" s="7"/>
      <c r="M70" s="7"/>
      <c r="N70" s="7"/>
      <c r="O70" s="7"/>
      <c r="P70" s="165"/>
      <c r="Q70" s="178"/>
      <c r="R70" s="178"/>
      <c r="S70" s="178"/>
      <c r="T70" s="178"/>
      <c r="U70" s="178"/>
      <c r="V70" s="178"/>
      <c r="W70" s="178"/>
      <c r="X70" s="178"/>
      <c r="Y70" s="178"/>
      <c r="Z70" s="178"/>
      <c r="AA70" s="178"/>
      <c r="AB70" s="178"/>
      <c r="AC70" s="178"/>
      <c r="AD70" s="178"/>
      <c r="AE70" s="178"/>
      <c r="AF70" s="178"/>
      <c r="AG70" s="178"/>
      <c r="AH70" s="178"/>
      <c r="AI70" s="178"/>
      <c r="AJ70" s="178"/>
      <c r="AK70" s="178"/>
      <c r="AL70" s="178"/>
      <c r="AM70" s="178"/>
      <c r="AN70" s="178"/>
    </row>
    <row r="71" spans="1:40">
      <c r="A71" s="178"/>
      <c r="B71" s="178"/>
      <c r="C71" s="178"/>
      <c r="D71" s="178"/>
      <c r="E71" s="178"/>
      <c r="F71" s="178"/>
      <c r="G71" s="178"/>
      <c r="H71" s="178"/>
      <c r="I71" s="178"/>
      <c r="K71" s="7"/>
      <c r="L71" s="7"/>
      <c r="M71" s="7"/>
      <c r="N71" s="7"/>
      <c r="O71" s="7"/>
      <c r="P71" s="165"/>
      <c r="Q71" s="178"/>
      <c r="R71" s="178"/>
      <c r="S71" s="178"/>
      <c r="T71" s="178"/>
      <c r="U71" s="178"/>
      <c r="V71" s="178"/>
      <c r="W71" s="178"/>
      <c r="X71" s="178"/>
      <c r="Y71" s="178"/>
      <c r="Z71" s="178"/>
      <c r="AA71" s="178"/>
      <c r="AB71" s="178"/>
      <c r="AC71" s="178"/>
      <c r="AD71" s="178"/>
      <c r="AE71" s="178"/>
      <c r="AF71" s="178"/>
      <c r="AG71" s="178"/>
      <c r="AH71" s="178"/>
      <c r="AI71" s="178"/>
      <c r="AJ71" s="178"/>
      <c r="AK71" s="178"/>
      <c r="AL71" s="178"/>
      <c r="AM71" s="178"/>
      <c r="AN71" s="178"/>
    </row>
    <row r="72" spans="1:40">
      <c r="A72" s="178"/>
      <c r="B72" s="178"/>
      <c r="C72" s="178"/>
      <c r="D72" s="178"/>
      <c r="E72" s="178"/>
      <c r="F72" s="178"/>
      <c r="G72" s="178"/>
      <c r="H72" s="178"/>
      <c r="I72" s="178"/>
      <c r="K72" s="7"/>
      <c r="L72" s="7"/>
      <c r="M72" s="7"/>
      <c r="N72" s="7"/>
      <c r="O72" s="7"/>
      <c r="P72" s="165"/>
      <c r="Q72" s="178"/>
      <c r="R72" s="178"/>
      <c r="S72" s="178"/>
      <c r="T72" s="178"/>
      <c r="U72" s="178"/>
      <c r="V72" s="178"/>
      <c r="W72" s="178"/>
      <c r="X72" s="178"/>
      <c r="Y72" s="178"/>
      <c r="Z72" s="178"/>
      <c r="AA72" s="178"/>
      <c r="AB72" s="178"/>
      <c r="AC72" s="178"/>
      <c r="AD72" s="178"/>
      <c r="AE72" s="178"/>
      <c r="AF72" s="178"/>
      <c r="AG72" s="178"/>
      <c r="AH72" s="178"/>
      <c r="AI72" s="178"/>
      <c r="AJ72" s="178"/>
      <c r="AK72" s="178"/>
      <c r="AL72" s="178"/>
      <c r="AM72" s="178"/>
      <c r="AN72" s="178"/>
    </row>
    <row r="73" spans="1:40">
      <c r="A73" s="178"/>
      <c r="B73" s="178"/>
      <c r="C73" s="178"/>
      <c r="D73" s="178"/>
      <c r="E73" s="178"/>
      <c r="F73" s="178"/>
      <c r="G73" s="178"/>
      <c r="H73" s="178"/>
      <c r="I73" s="178"/>
      <c r="K73" s="7"/>
      <c r="L73" s="7"/>
      <c r="M73" s="7"/>
      <c r="N73" s="7"/>
      <c r="O73" s="7"/>
      <c r="P73" s="165"/>
      <c r="Q73" s="178"/>
      <c r="R73" s="178"/>
      <c r="S73" s="178"/>
      <c r="T73" s="178"/>
      <c r="U73" s="178"/>
      <c r="V73" s="178"/>
      <c r="W73" s="178"/>
      <c r="X73" s="178"/>
      <c r="Y73" s="178"/>
      <c r="Z73" s="178"/>
      <c r="AA73" s="178"/>
      <c r="AB73" s="178"/>
      <c r="AC73" s="178"/>
      <c r="AD73" s="178"/>
      <c r="AE73" s="178"/>
      <c r="AF73" s="178"/>
      <c r="AG73" s="178"/>
      <c r="AH73" s="178"/>
      <c r="AI73" s="178"/>
      <c r="AJ73" s="178"/>
      <c r="AK73" s="178"/>
      <c r="AL73" s="178"/>
      <c r="AM73" s="178"/>
      <c r="AN73" s="178"/>
    </row>
    <row r="74" spans="1:40">
      <c r="A74" s="178"/>
      <c r="B74" s="178"/>
      <c r="C74" s="178"/>
      <c r="D74" s="178"/>
      <c r="E74" s="178"/>
      <c r="F74" s="178"/>
      <c r="G74" s="178"/>
      <c r="H74" s="178"/>
      <c r="I74" s="178"/>
      <c r="K74" s="7"/>
      <c r="L74" s="7"/>
      <c r="M74" s="7"/>
      <c r="N74" s="7"/>
      <c r="O74" s="7"/>
      <c r="P74" s="165"/>
      <c r="Q74" s="178"/>
      <c r="R74" s="178"/>
      <c r="S74" s="178"/>
      <c r="T74" s="178"/>
      <c r="U74" s="178"/>
      <c r="V74" s="178"/>
      <c r="W74" s="178"/>
      <c r="X74" s="178"/>
      <c r="Y74" s="178"/>
      <c r="Z74" s="178"/>
      <c r="AA74" s="178"/>
      <c r="AB74" s="178"/>
      <c r="AC74" s="178"/>
      <c r="AD74" s="178"/>
      <c r="AE74" s="178"/>
      <c r="AF74" s="178"/>
      <c r="AG74" s="178"/>
      <c r="AH74" s="178"/>
      <c r="AI74" s="178"/>
      <c r="AJ74" s="178"/>
      <c r="AK74" s="178"/>
      <c r="AL74" s="178"/>
      <c r="AM74" s="178"/>
      <c r="AN74" s="178"/>
    </row>
    <row r="75" spans="1:40">
      <c r="A75" s="178"/>
      <c r="B75" s="178"/>
      <c r="C75" s="178"/>
      <c r="D75" s="178"/>
      <c r="E75" s="178"/>
      <c r="F75" s="178"/>
      <c r="G75" s="178"/>
      <c r="H75" s="178"/>
      <c r="I75" s="178"/>
      <c r="K75" s="7"/>
      <c r="L75" s="7"/>
      <c r="M75" s="7"/>
      <c r="N75" s="7"/>
      <c r="O75" s="7"/>
      <c r="P75" s="165"/>
      <c r="Q75" s="178"/>
      <c r="R75" s="178"/>
      <c r="S75" s="178"/>
      <c r="T75" s="178"/>
      <c r="U75" s="178"/>
      <c r="V75" s="178"/>
      <c r="W75" s="178"/>
      <c r="X75" s="178"/>
      <c r="Y75" s="178"/>
      <c r="Z75" s="178"/>
      <c r="AA75" s="178"/>
      <c r="AB75" s="178"/>
      <c r="AC75" s="178"/>
      <c r="AD75" s="178"/>
      <c r="AE75" s="178"/>
      <c r="AF75" s="178"/>
      <c r="AG75" s="178"/>
      <c r="AH75" s="178"/>
      <c r="AI75" s="178"/>
      <c r="AJ75" s="178"/>
      <c r="AK75" s="178"/>
      <c r="AL75" s="178"/>
      <c r="AM75" s="178"/>
      <c r="AN75" s="178"/>
    </row>
    <row r="76" spans="1:40">
      <c r="A76" s="178"/>
      <c r="B76" s="178"/>
      <c r="C76" s="178"/>
      <c r="D76" s="178"/>
      <c r="E76" s="178"/>
      <c r="F76" s="178"/>
      <c r="G76" s="178"/>
      <c r="H76" s="178"/>
      <c r="I76" s="178"/>
      <c r="K76" s="7"/>
      <c r="L76" s="7"/>
      <c r="M76" s="7"/>
      <c r="N76" s="7"/>
      <c r="O76" s="7"/>
      <c r="P76" s="165"/>
      <c r="Q76" s="178"/>
      <c r="R76" s="178"/>
      <c r="S76" s="178"/>
      <c r="T76" s="178"/>
      <c r="U76" s="178"/>
      <c r="V76" s="178"/>
      <c r="W76" s="178"/>
      <c r="X76" s="178"/>
      <c r="Y76" s="178"/>
      <c r="Z76" s="178"/>
      <c r="AA76" s="178"/>
      <c r="AB76" s="178"/>
      <c r="AC76" s="178"/>
      <c r="AD76" s="178"/>
      <c r="AE76" s="178"/>
      <c r="AF76" s="178"/>
      <c r="AG76" s="178"/>
      <c r="AH76" s="178"/>
      <c r="AI76" s="178"/>
      <c r="AJ76" s="178"/>
      <c r="AK76" s="178"/>
      <c r="AL76" s="178"/>
      <c r="AM76" s="178"/>
      <c r="AN76" s="178"/>
    </row>
    <row r="77" spans="1:40">
      <c r="A77" s="178"/>
      <c r="B77" s="178"/>
      <c r="C77" s="178"/>
      <c r="D77" s="178"/>
      <c r="E77" s="178"/>
      <c r="F77" s="178"/>
      <c r="G77" s="178"/>
      <c r="H77" s="178"/>
      <c r="I77" s="178"/>
      <c r="K77" s="7"/>
      <c r="L77" s="7"/>
      <c r="M77" s="7"/>
      <c r="N77" s="7"/>
      <c r="O77" s="7"/>
      <c r="P77" s="165"/>
      <c r="Q77" s="178"/>
      <c r="R77" s="178"/>
      <c r="S77" s="178"/>
      <c r="T77" s="178"/>
      <c r="U77" s="178"/>
      <c r="V77" s="178"/>
      <c r="W77" s="178"/>
      <c r="X77" s="178"/>
      <c r="Y77" s="178"/>
      <c r="Z77" s="178"/>
      <c r="AA77" s="178"/>
      <c r="AB77" s="178"/>
      <c r="AC77" s="178"/>
      <c r="AD77" s="178"/>
      <c r="AE77" s="178"/>
      <c r="AF77" s="178"/>
      <c r="AG77" s="178"/>
      <c r="AH77" s="178"/>
      <c r="AI77" s="178"/>
      <c r="AJ77" s="178"/>
      <c r="AK77" s="178"/>
      <c r="AL77" s="178"/>
      <c r="AM77" s="178"/>
      <c r="AN77" s="178"/>
    </row>
    <row r="78" spans="1:40">
      <c r="A78" s="178"/>
      <c r="B78" s="178"/>
      <c r="C78" s="178"/>
      <c r="D78" s="178"/>
      <c r="E78" s="178"/>
      <c r="F78" s="178"/>
      <c r="G78" s="178"/>
      <c r="H78" s="178"/>
      <c r="I78" s="178"/>
      <c r="K78" s="7"/>
      <c r="L78" s="7"/>
      <c r="M78" s="7"/>
      <c r="N78" s="7"/>
      <c r="O78" s="7"/>
      <c r="P78" s="165"/>
      <c r="Q78" s="178"/>
      <c r="R78" s="178"/>
      <c r="S78" s="178"/>
      <c r="T78" s="178"/>
      <c r="U78" s="178"/>
      <c r="V78" s="178"/>
      <c r="W78" s="178"/>
      <c r="X78" s="178"/>
      <c r="Y78" s="178"/>
      <c r="Z78" s="178"/>
      <c r="AA78" s="178"/>
      <c r="AB78" s="178"/>
      <c r="AC78" s="178"/>
      <c r="AD78" s="178"/>
      <c r="AE78" s="178"/>
      <c r="AF78" s="178"/>
      <c r="AG78" s="178"/>
      <c r="AH78" s="178"/>
      <c r="AI78" s="178"/>
      <c r="AJ78" s="178"/>
      <c r="AK78" s="178"/>
      <c r="AL78" s="178"/>
      <c r="AM78" s="178"/>
      <c r="AN78" s="178"/>
    </row>
    <row r="79" spans="1:40">
      <c r="A79" s="178"/>
      <c r="B79" s="178"/>
      <c r="C79" s="178"/>
      <c r="D79" s="178"/>
      <c r="E79" s="178"/>
      <c r="F79" s="178"/>
      <c r="G79" s="178"/>
      <c r="H79" s="178"/>
      <c r="I79" s="178"/>
      <c r="K79" s="7"/>
      <c r="L79" s="7"/>
      <c r="M79" s="7"/>
      <c r="N79" s="7"/>
      <c r="O79" s="7"/>
      <c r="P79" s="165"/>
      <c r="Q79" s="178"/>
      <c r="R79" s="178"/>
      <c r="S79" s="178"/>
      <c r="T79" s="178"/>
      <c r="U79" s="178"/>
      <c r="V79" s="178"/>
      <c r="W79" s="178"/>
      <c r="X79" s="178"/>
      <c r="Y79" s="178"/>
      <c r="Z79" s="178"/>
      <c r="AA79" s="178"/>
      <c r="AB79" s="178"/>
      <c r="AC79" s="178"/>
      <c r="AD79" s="178"/>
      <c r="AE79" s="178"/>
      <c r="AF79" s="178"/>
      <c r="AG79" s="178"/>
      <c r="AH79" s="178"/>
      <c r="AI79" s="178"/>
      <c r="AJ79" s="178"/>
      <c r="AK79" s="178"/>
      <c r="AL79" s="178"/>
      <c r="AM79" s="178"/>
      <c r="AN79" s="178"/>
    </row>
    <row r="80" spans="1:40">
      <c r="A80" s="178"/>
      <c r="B80" s="178"/>
      <c r="C80" s="178"/>
      <c r="D80" s="178"/>
      <c r="E80" s="178"/>
      <c r="F80" s="178"/>
      <c r="G80" s="178"/>
      <c r="H80" s="178"/>
      <c r="I80" s="178"/>
      <c r="K80" s="7"/>
      <c r="L80" s="7"/>
      <c r="M80" s="7"/>
      <c r="N80" s="7"/>
      <c r="O80" s="7"/>
      <c r="P80" s="165"/>
      <c r="Q80" s="178"/>
      <c r="R80" s="178"/>
      <c r="S80" s="178"/>
      <c r="T80" s="178"/>
      <c r="U80" s="178"/>
      <c r="V80" s="178"/>
      <c r="W80" s="178"/>
      <c r="X80" s="178"/>
      <c r="Y80" s="178"/>
      <c r="Z80" s="178"/>
      <c r="AA80" s="178"/>
      <c r="AB80" s="178"/>
      <c r="AC80" s="178"/>
      <c r="AD80" s="178"/>
      <c r="AE80" s="178"/>
      <c r="AF80" s="178"/>
      <c r="AG80" s="178"/>
      <c r="AH80" s="178"/>
      <c r="AI80" s="178"/>
      <c r="AJ80" s="178"/>
      <c r="AK80" s="178"/>
      <c r="AL80" s="178"/>
      <c r="AM80" s="178"/>
      <c r="AN80" s="178"/>
    </row>
    <row r="81" spans="1:40">
      <c r="A81" s="178"/>
      <c r="B81" s="178"/>
      <c r="C81" s="178"/>
      <c r="D81" s="178"/>
      <c r="E81" s="178"/>
      <c r="F81" s="178"/>
      <c r="G81" s="178"/>
      <c r="H81" s="178"/>
      <c r="I81" s="178"/>
      <c r="K81" s="7"/>
      <c r="L81" s="7"/>
      <c r="M81" s="7"/>
      <c r="N81" s="7"/>
      <c r="O81" s="7"/>
      <c r="P81" s="165"/>
      <c r="Q81" s="178"/>
      <c r="R81" s="178"/>
      <c r="S81" s="178"/>
      <c r="T81" s="178"/>
      <c r="U81" s="178"/>
      <c r="V81" s="178"/>
      <c r="W81" s="178"/>
      <c r="X81" s="178"/>
      <c r="Y81" s="178"/>
      <c r="Z81" s="178"/>
      <c r="AA81" s="178"/>
      <c r="AB81" s="178"/>
      <c r="AC81" s="178"/>
      <c r="AD81" s="178"/>
      <c r="AE81" s="178"/>
      <c r="AF81" s="178"/>
      <c r="AG81" s="178"/>
      <c r="AH81" s="178"/>
      <c r="AI81" s="178"/>
      <c r="AJ81" s="178"/>
      <c r="AK81" s="178"/>
      <c r="AL81" s="178"/>
      <c r="AM81" s="178"/>
      <c r="AN81" s="178"/>
    </row>
    <row r="82" spans="1:40">
      <c r="A82" s="178"/>
      <c r="B82" s="178"/>
      <c r="C82" s="178"/>
      <c r="D82" s="178"/>
      <c r="E82" s="178"/>
      <c r="F82" s="178"/>
      <c r="G82" s="178"/>
      <c r="H82" s="178"/>
      <c r="I82" s="178"/>
      <c r="K82" s="7"/>
      <c r="L82" s="7"/>
      <c r="M82" s="7"/>
      <c r="N82" s="7"/>
      <c r="O82" s="7"/>
      <c r="P82" s="165"/>
      <c r="Q82" s="178"/>
      <c r="R82" s="178"/>
      <c r="S82" s="178"/>
      <c r="T82" s="178"/>
      <c r="U82" s="178"/>
      <c r="V82" s="178"/>
      <c r="W82" s="178"/>
      <c r="X82" s="178"/>
      <c r="Y82" s="178"/>
      <c r="Z82" s="178"/>
      <c r="AA82" s="178"/>
      <c r="AB82" s="178"/>
      <c r="AC82" s="178"/>
      <c r="AD82" s="178"/>
      <c r="AE82" s="178"/>
      <c r="AF82" s="178"/>
      <c r="AG82" s="178"/>
      <c r="AH82" s="178"/>
      <c r="AI82" s="178"/>
      <c r="AJ82" s="178"/>
      <c r="AK82" s="178"/>
      <c r="AL82" s="178"/>
      <c r="AM82" s="178"/>
      <c r="AN82" s="178"/>
    </row>
    <row r="83" spans="1:40">
      <c r="A83" s="178"/>
      <c r="B83" s="178"/>
      <c r="C83" s="178"/>
      <c r="D83" s="178"/>
      <c r="E83" s="178"/>
      <c r="F83" s="178"/>
      <c r="G83" s="178"/>
      <c r="H83" s="178"/>
      <c r="I83" s="178"/>
      <c r="K83" s="7"/>
      <c r="L83" s="7"/>
      <c r="M83" s="7"/>
      <c r="N83" s="7"/>
      <c r="O83" s="7"/>
      <c r="P83" s="165"/>
      <c r="Q83" s="178"/>
      <c r="R83" s="178"/>
      <c r="S83" s="178"/>
      <c r="T83" s="178"/>
      <c r="U83" s="178"/>
      <c r="V83" s="178"/>
      <c r="W83" s="178"/>
      <c r="X83" s="178"/>
      <c r="Y83" s="178"/>
      <c r="Z83" s="178"/>
      <c r="AA83" s="178"/>
      <c r="AB83" s="178"/>
      <c r="AC83" s="178"/>
      <c r="AD83" s="178"/>
      <c r="AE83" s="178"/>
      <c r="AF83" s="178"/>
      <c r="AG83" s="178"/>
      <c r="AH83" s="178"/>
      <c r="AI83" s="178"/>
      <c r="AJ83" s="178"/>
      <c r="AK83" s="178"/>
      <c r="AL83" s="178"/>
      <c r="AM83" s="178"/>
      <c r="AN83" s="178"/>
    </row>
    <row r="84" spans="1:40">
      <c r="A84" s="178"/>
      <c r="B84" s="178"/>
      <c r="C84" s="178"/>
      <c r="D84" s="178"/>
      <c r="E84" s="178"/>
      <c r="F84" s="178"/>
      <c r="G84" s="178"/>
      <c r="H84" s="178"/>
      <c r="I84" s="178"/>
      <c r="K84" s="7"/>
      <c r="L84" s="7"/>
      <c r="M84" s="7"/>
      <c r="N84" s="7"/>
      <c r="O84" s="7"/>
      <c r="P84" s="165"/>
      <c r="Q84" s="178"/>
      <c r="R84" s="178"/>
      <c r="S84" s="178"/>
      <c r="T84" s="178"/>
      <c r="U84" s="178"/>
      <c r="V84" s="178"/>
      <c r="W84" s="178"/>
      <c r="X84" s="178"/>
      <c r="Y84" s="178"/>
      <c r="Z84" s="178"/>
      <c r="AA84" s="178"/>
      <c r="AB84" s="178"/>
      <c r="AC84" s="178"/>
      <c r="AD84" s="178"/>
      <c r="AE84" s="178"/>
      <c r="AF84" s="178"/>
      <c r="AG84" s="178"/>
      <c r="AH84" s="178"/>
      <c r="AI84" s="178"/>
      <c r="AJ84" s="178"/>
      <c r="AK84" s="178"/>
      <c r="AL84" s="178"/>
      <c r="AM84" s="178"/>
      <c r="AN84" s="178"/>
    </row>
    <row r="85" spans="1:40">
      <c r="A85" s="178"/>
      <c r="B85" s="178"/>
      <c r="C85" s="178"/>
      <c r="D85" s="178"/>
      <c r="E85" s="178"/>
      <c r="F85" s="178"/>
      <c r="G85" s="178"/>
      <c r="H85" s="178"/>
      <c r="I85" s="178"/>
      <c r="K85" s="7"/>
      <c r="L85" s="7"/>
      <c r="M85" s="7"/>
      <c r="N85" s="7"/>
      <c r="O85" s="7"/>
      <c r="P85" s="165"/>
      <c r="Q85" s="178"/>
      <c r="R85" s="178"/>
      <c r="S85" s="178"/>
      <c r="T85" s="178"/>
      <c r="U85" s="178"/>
      <c r="V85" s="178"/>
      <c r="W85" s="178"/>
      <c r="X85" s="178"/>
      <c r="Y85" s="178"/>
      <c r="Z85" s="178"/>
      <c r="AA85" s="178"/>
      <c r="AB85" s="178"/>
      <c r="AC85" s="178"/>
      <c r="AD85" s="178"/>
      <c r="AE85" s="178"/>
      <c r="AF85" s="178"/>
      <c r="AG85" s="178"/>
      <c r="AH85" s="178"/>
      <c r="AI85" s="178"/>
      <c r="AJ85" s="178"/>
      <c r="AK85" s="178"/>
      <c r="AL85" s="178"/>
      <c r="AM85" s="178"/>
      <c r="AN85" s="178"/>
    </row>
    <row r="86" spans="1:40">
      <c r="A86" s="178"/>
      <c r="B86" s="178"/>
      <c r="C86" s="178"/>
      <c r="D86" s="178"/>
      <c r="E86" s="178"/>
      <c r="F86" s="178"/>
      <c r="G86" s="178"/>
      <c r="H86" s="178"/>
      <c r="I86" s="178"/>
      <c r="K86" s="7"/>
      <c r="L86" s="7"/>
      <c r="M86" s="7"/>
      <c r="N86" s="7"/>
      <c r="O86" s="7"/>
      <c r="P86" s="165"/>
      <c r="Q86" s="178"/>
      <c r="R86" s="178"/>
      <c r="S86" s="178"/>
      <c r="T86" s="178"/>
      <c r="U86" s="178"/>
      <c r="V86" s="178"/>
      <c r="W86" s="178"/>
      <c r="X86" s="178"/>
      <c r="Y86" s="178"/>
      <c r="Z86" s="178"/>
      <c r="AA86" s="178"/>
      <c r="AB86" s="178"/>
      <c r="AC86" s="178"/>
      <c r="AD86" s="178"/>
      <c r="AE86" s="178"/>
      <c r="AF86" s="178"/>
      <c r="AG86" s="178"/>
      <c r="AH86" s="178"/>
      <c r="AI86" s="178"/>
      <c r="AJ86" s="178"/>
      <c r="AK86" s="178"/>
      <c r="AL86" s="178"/>
      <c r="AM86" s="178"/>
      <c r="AN86" s="178"/>
    </row>
    <row r="87" spans="1:40">
      <c r="A87" s="178"/>
      <c r="B87" s="178"/>
      <c r="C87" s="178"/>
      <c r="D87" s="178"/>
      <c r="E87" s="178"/>
      <c r="F87" s="178"/>
      <c r="G87" s="178"/>
      <c r="H87" s="178"/>
      <c r="I87" s="178"/>
      <c r="K87" s="7"/>
      <c r="L87" s="7"/>
      <c r="M87" s="7"/>
      <c r="N87" s="7"/>
      <c r="O87" s="7"/>
      <c r="P87" s="165"/>
      <c r="Q87" s="178"/>
      <c r="R87" s="178"/>
      <c r="S87" s="178"/>
      <c r="T87" s="178"/>
      <c r="U87" s="178"/>
      <c r="V87" s="178"/>
      <c r="W87" s="178"/>
      <c r="X87" s="178"/>
      <c r="Y87" s="178"/>
      <c r="Z87" s="178"/>
      <c r="AA87" s="178"/>
      <c r="AB87" s="178"/>
      <c r="AC87" s="178"/>
      <c r="AD87" s="178"/>
      <c r="AE87" s="178"/>
      <c r="AF87" s="178"/>
      <c r="AG87" s="178"/>
      <c r="AH87" s="178"/>
      <c r="AI87" s="178"/>
      <c r="AJ87" s="178"/>
      <c r="AK87" s="178"/>
      <c r="AL87" s="178"/>
      <c r="AM87" s="178"/>
      <c r="AN87" s="178"/>
    </row>
    <row r="88" spans="1:40">
      <c r="A88" s="178"/>
      <c r="B88" s="178"/>
      <c r="C88" s="178"/>
      <c r="D88" s="178"/>
      <c r="E88" s="178"/>
      <c r="F88" s="178"/>
      <c r="G88" s="178"/>
      <c r="H88" s="178"/>
      <c r="I88" s="178"/>
      <c r="K88" s="7"/>
      <c r="L88" s="7"/>
      <c r="M88" s="7"/>
      <c r="N88" s="7"/>
      <c r="O88" s="7"/>
      <c r="P88" s="165"/>
      <c r="Q88" s="178"/>
      <c r="R88" s="178"/>
      <c r="S88" s="178"/>
      <c r="T88" s="178"/>
      <c r="U88" s="178"/>
      <c r="V88" s="178"/>
      <c r="W88" s="178"/>
      <c r="X88" s="178"/>
      <c r="Y88" s="178"/>
      <c r="Z88" s="178"/>
      <c r="AA88" s="178"/>
      <c r="AB88" s="178"/>
      <c r="AC88" s="178"/>
      <c r="AD88" s="178"/>
      <c r="AE88" s="178"/>
      <c r="AF88" s="178"/>
      <c r="AG88" s="178"/>
      <c r="AH88" s="178"/>
      <c r="AI88" s="178"/>
      <c r="AJ88" s="178"/>
      <c r="AK88" s="178"/>
      <c r="AL88" s="178"/>
      <c r="AM88" s="178"/>
      <c r="AN88" s="178"/>
    </row>
    <row r="89" spans="1:40">
      <c r="A89" s="178"/>
      <c r="B89" s="178"/>
      <c r="C89" s="178"/>
      <c r="D89" s="178"/>
      <c r="E89" s="178"/>
      <c r="F89" s="178"/>
      <c r="G89" s="178"/>
      <c r="H89" s="178"/>
      <c r="I89" s="178"/>
      <c r="K89" s="7"/>
      <c r="L89" s="7"/>
      <c r="M89" s="7"/>
      <c r="N89" s="7"/>
      <c r="O89" s="7"/>
      <c r="P89" s="165"/>
      <c r="Q89" s="178"/>
      <c r="R89" s="178"/>
      <c r="S89" s="178"/>
      <c r="T89" s="178"/>
      <c r="U89" s="178"/>
      <c r="V89" s="178"/>
      <c r="W89" s="178"/>
      <c r="X89" s="178"/>
      <c r="Y89" s="178"/>
      <c r="Z89" s="178"/>
      <c r="AA89" s="178"/>
      <c r="AB89" s="178"/>
      <c r="AC89" s="178"/>
      <c r="AD89" s="178"/>
      <c r="AE89" s="178"/>
      <c r="AF89" s="178"/>
      <c r="AG89" s="178"/>
      <c r="AH89" s="178"/>
      <c r="AI89" s="178"/>
      <c r="AJ89" s="178"/>
      <c r="AK89" s="178"/>
      <c r="AL89" s="178"/>
      <c r="AM89" s="178"/>
      <c r="AN89" s="178"/>
    </row>
    <row r="90" spans="1:40">
      <c r="A90" s="178"/>
      <c r="B90" s="178"/>
      <c r="C90" s="178"/>
      <c r="D90" s="178"/>
      <c r="E90" s="178"/>
      <c r="F90" s="178"/>
      <c r="G90" s="178"/>
      <c r="H90" s="178"/>
      <c r="I90" s="178"/>
      <c r="K90" s="7"/>
      <c r="L90" s="7"/>
      <c r="M90" s="7"/>
      <c r="N90" s="7"/>
      <c r="O90" s="7"/>
      <c r="P90" s="165"/>
      <c r="Q90" s="178"/>
      <c r="R90" s="178"/>
      <c r="S90" s="178"/>
      <c r="T90" s="178"/>
      <c r="U90" s="178"/>
      <c r="V90" s="178"/>
      <c r="W90" s="178"/>
      <c r="X90" s="178"/>
      <c r="Y90" s="178"/>
      <c r="Z90" s="178"/>
      <c r="AA90" s="178"/>
      <c r="AB90" s="178"/>
      <c r="AC90" s="178"/>
      <c r="AD90" s="178"/>
      <c r="AE90" s="178"/>
      <c r="AF90" s="178"/>
      <c r="AG90" s="178"/>
      <c r="AH90" s="178"/>
      <c r="AI90" s="178"/>
      <c r="AJ90" s="178"/>
      <c r="AK90" s="178"/>
      <c r="AL90" s="178"/>
      <c r="AM90" s="178"/>
      <c r="AN90" s="178"/>
    </row>
    <row r="91" spans="1:40">
      <c r="A91" s="165"/>
      <c r="B91" s="165"/>
      <c r="C91" s="165"/>
      <c r="D91" s="165"/>
      <c r="E91" s="165"/>
      <c r="F91" s="165"/>
      <c r="G91" s="165"/>
      <c r="H91" s="165"/>
      <c r="I91" s="165"/>
      <c r="J91" s="7"/>
      <c r="K91" s="7"/>
      <c r="L91" s="7"/>
      <c r="M91" s="7"/>
      <c r="N91" s="7"/>
      <c r="O91" s="7"/>
      <c r="P91" s="165"/>
      <c r="Q91" s="178"/>
      <c r="R91" s="178"/>
      <c r="S91" s="178"/>
      <c r="T91" s="178"/>
      <c r="U91" s="178"/>
      <c r="V91" s="178"/>
      <c r="W91" s="178"/>
      <c r="X91" s="178"/>
      <c r="Y91" s="178"/>
      <c r="Z91" s="178"/>
      <c r="AA91" s="178"/>
      <c r="AB91" s="178"/>
      <c r="AC91" s="178"/>
      <c r="AD91" s="178"/>
      <c r="AE91" s="178"/>
      <c r="AF91" s="178"/>
      <c r="AG91" s="178"/>
      <c r="AH91" s="178"/>
      <c r="AI91" s="178"/>
      <c r="AJ91" s="178"/>
      <c r="AK91" s="178"/>
      <c r="AL91" s="178"/>
      <c r="AM91" s="178"/>
      <c r="AN91" s="178"/>
    </row>
    <row r="92" spans="1:40">
      <c r="A92" s="165"/>
      <c r="B92" s="165"/>
      <c r="C92" s="165"/>
      <c r="D92" s="165"/>
      <c r="E92" s="165"/>
      <c r="F92" s="165"/>
      <c r="G92" s="165"/>
      <c r="H92" s="165"/>
      <c r="I92" s="165"/>
      <c r="J92" s="7"/>
      <c r="K92" s="7"/>
      <c r="L92" s="7"/>
      <c r="M92" s="7"/>
      <c r="N92" s="7"/>
      <c r="O92" s="7"/>
      <c r="P92" s="165"/>
      <c r="Q92" s="178"/>
      <c r="R92" s="178"/>
      <c r="S92" s="178"/>
      <c r="T92" s="178"/>
      <c r="U92" s="178"/>
      <c r="V92" s="178"/>
      <c r="W92" s="178"/>
      <c r="X92" s="178"/>
      <c r="Y92" s="178"/>
      <c r="Z92" s="178"/>
      <c r="AA92" s="178"/>
      <c r="AB92" s="178"/>
      <c r="AC92" s="178"/>
      <c r="AD92" s="178"/>
      <c r="AE92" s="178"/>
      <c r="AF92" s="178"/>
      <c r="AG92" s="178"/>
      <c r="AH92" s="178"/>
      <c r="AI92" s="178"/>
      <c r="AJ92" s="178"/>
      <c r="AK92" s="178"/>
      <c r="AL92" s="178"/>
      <c r="AM92" s="178"/>
      <c r="AN92" s="178"/>
    </row>
    <row r="93" spans="1:40">
      <c r="A93" s="165"/>
      <c r="B93" s="165"/>
      <c r="C93" s="165"/>
      <c r="D93" s="165"/>
      <c r="E93" s="165"/>
      <c r="F93" s="165"/>
      <c r="G93" s="165"/>
      <c r="H93" s="165"/>
      <c r="I93" s="165"/>
      <c r="J93" s="7"/>
      <c r="K93" s="7"/>
      <c r="L93" s="7"/>
      <c r="M93" s="7"/>
      <c r="N93" s="7"/>
      <c r="O93" s="7"/>
      <c r="P93" s="165"/>
      <c r="Q93" s="178"/>
      <c r="R93" s="178"/>
      <c r="S93" s="178"/>
      <c r="T93" s="178"/>
      <c r="U93" s="178"/>
      <c r="V93" s="178"/>
      <c r="W93" s="178"/>
      <c r="X93" s="178"/>
      <c r="Y93" s="178"/>
      <c r="Z93" s="178"/>
      <c r="AA93" s="178"/>
      <c r="AB93" s="178"/>
      <c r="AC93" s="178"/>
      <c r="AD93" s="178"/>
      <c r="AE93" s="178"/>
      <c r="AF93" s="178"/>
      <c r="AG93" s="178"/>
      <c r="AH93" s="178"/>
      <c r="AI93" s="178"/>
      <c r="AJ93" s="178"/>
      <c r="AK93" s="178"/>
      <c r="AL93" s="178"/>
      <c r="AM93" s="178"/>
      <c r="AN93" s="178"/>
    </row>
    <row r="94" spans="1:40">
      <c r="A94" s="165"/>
      <c r="B94" s="165"/>
      <c r="C94" s="165"/>
      <c r="D94" s="165"/>
      <c r="E94" s="165"/>
      <c r="F94" s="165"/>
      <c r="G94" s="165"/>
      <c r="H94" s="165"/>
      <c r="I94" s="165"/>
      <c r="J94" s="7"/>
      <c r="K94" s="7"/>
      <c r="L94" s="7"/>
      <c r="M94" s="7"/>
      <c r="N94" s="7"/>
      <c r="O94" s="7"/>
      <c r="P94" s="165"/>
      <c r="Q94" s="178"/>
      <c r="R94" s="178"/>
      <c r="S94" s="178"/>
      <c r="T94" s="178"/>
      <c r="U94" s="178"/>
      <c r="V94" s="178"/>
      <c r="W94" s="178"/>
      <c r="X94" s="178"/>
      <c r="Y94" s="178"/>
      <c r="Z94" s="178"/>
      <c r="AA94" s="178"/>
      <c r="AB94" s="178"/>
      <c r="AC94" s="178"/>
      <c r="AD94" s="178"/>
      <c r="AE94" s="178"/>
      <c r="AF94" s="178"/>
      <c r="AG94" s="178"/>
      <c r="AH94" s="178"/>
      <c r="AI94" s="178"/>
      <c r="AJ94" s="178"/>
      <c r="AK94" s="178"/>
      <c r="AL94" s="178"/>
      <c r="AM94" s="178"/>
      <c r="AN94" s="178"/>
    </row>
    <row r="95" spans="1:40">
      <c r="A95" s="165"/>
      <c r="B95" s="165"/>
      <c r="C95" s="165"/>
      <c r="D95" s="165"/>
      <c r="E95" s="165"/>
      <c r="F95" s="165"/>
      <c r="G95" s="165"/>
      <c r="H95" s="165"/>
      <c r="I95" s="165"/>
      <c r="J95" s="7"/>
      <c r="K95" s="7"/>
      <c r="L95" s="7"/>
      <c r="M95" s="7"/>
      <c r="N95" s="7"/>
      <c r="O95" s="7"/>
      <c r="P95" s="165"/>
      <c r="Q95" s="178"/>
      <c r="R95" s="178"/>
      <c r="S95" s="178"/>
      <c r="T95" s="178"/>
      <c r="U95" s="178"/>
      <c r="V95" s="178"/>
      <c r="W95" s="178"/>
      <c r="X95" s="178"/>
      <c r="Y95" s="178"/>
      <c r="Z95" s="178"/>
      <c r="AA95" s="178"/>
      <c r="AB95" s="178"/>
      <c r="AC95" s="178"/>
      <c r="AD95" s="178"/>
      <c r="AE95" s="178"/>
      <c r="AF95" s="178"/>
      <c r="AG95" s="178"/>
      <c r="AH95" s="178"/>
      <c r="AI95" s="178"/>
      <c r="AJ95" s="178"/>
      <c r="AK95" s="178"/>
      <c r="AL95" s="178"/>
      <c r="AM95" s="178"/>
      <c r="AN95" s="178"/>
    </row>
    <row r="96" spans="1:40">
      <c r="A96" s="165"/>
      <c r="B96" s="165"/>
      <c r="C96" s="165"/>
      <c r="D96" s="165"/>
      <c r="E96" s="165"/>
      <c r="F96" s="165"/>
      <c r="G96" s="165"/>
      <c r="H96" s="165"/>
      <c r="I96" s="165"/>
      <c r="J96" s="7"/>
      <c r="K96" s="7"/>
      <c r="L96" s="7"/>
      <c r="M96" s="7"/>
      <c r="N96" s="7"/>
      <c r="O96" s="7"/>
      <c r="P96" s="165"/>
      <c r="Q96" s="178"/>
      <c r="R96" s="178"/>
      <c r="S96" s="178"/>
      <c r="T96" s="178"/>
      <c r="U96" s="178"/>
      <c r="V96" s="178"/>
      <c r="W96" s="178"/>
      <c r="X96" s="178"/>
      <c r="Y96" s="178"/>
      <c r="Z96" s="178"/>
      <c r="AA96" s="178"/>
      <c r="AB96" s="178"/>
      <c r="AC96" s="178"/>
      <c r="AD96" s="178"/>
      <c r="AE96" s="178"/>
      <c r="AF96" s="178"/>
      <c r="AG96" s="178"/>
      <c r="AH96" s="178"/>
      <c r="AI96" s="178"/>
      <c r="AJ96" s="178"/>
      <c r="AK96" s="178"/>
      <c r="AL96" s="178"/>
      <c r="AM96" s="178"/>
      <c r="AN96" s="178"/>
    </row>
    <row r="97" spans="1:40">
      <c r="A97" s="165"/>
      <c r="B97" s="165"/>
      <c r="C97" s="165"/>
      <c r="D97" s="165"/>
      <c r="E97" s="165"/>
      <c r="F97" s="165"/>
      <c r="G97" s="165"/>
      <c r="H97" s="165"/>
      <c r="I97" s="165"/>
      <c r="J97" s="7"/>
      <c r="K97" s="7"/>
      <c r="L97" s="7"/>
      <c r="M97" s="7"/>
      <c r="N97" s="7"/>
      <c r="O97" s="7"/>
      <c r="P97" s="165"/>
      <c r="Q97" s="178"/>
      <c r="R97" s="178"/>
      <c r="S97" s="178"/>
      <c r="T97" s="178"/>
      <c r="U97" s="178"/>
      <c r="V97" s="178"/>
      <c r="W97" s="178"/>
      <c r="X97" s="178"/>
      <c r="Y97" s="178"/>
      <c r="Z97" s="178"/>
      <c r="AA97" s="178"/>
      <c r="AB97" s="178"/>
      <c r="AC97" s="178"/>
      <c r="AD97" s="178"/>
      <c r="AE97" s="178"/>
      <c r="AF97" s="178"/>
      <c r="AG97" s="178"/>
      <c r="AH97" s="178"/>
      <c r="AI97" s="178"/>
      <c r="AJ97" s="178"/>
      <c r="AK97" s="178"/>
      <c r="AL97" s="178"/>
      <c r="AM97" s="178"/>
      <c r="AN97" s="178"/>
    </row>
    <row r="98" spans="1:40">
      <c r="A98" s="165"/>
      <c r="B98" s="165"/>
      <c r="C98" s="165"/>
      <c r="D98" s="165"/>
      <c r="E98" s="165"/>
      <c r="F98" s="165"/>
      <c r="G98" s="165"/>
      <c r="H98" s="165"/>
      <c r="I98" s="165"/>
      <c r="J98" s="7"/>
      <c r="K98" s="7"/>
      <c r="L98" s="7"/>
      <c r="M98" s="7"/>
      <c r="N98" s="7"/>
      <c r="O98" s="7"/>
      <c r="P98" s="165"/>
      <c r="Q98" s="178"/>
      <c r="R98" s="178"/>
      <c r="S98" s="178"/>
      <c r="T98" s="178"/>
      <c r="U98" s="178"/>
      <c r="V98" s="178"/>
      <c r="W98" s="178"/>
      <c r="X98" s="178"/>
      <c r="Y98" s="178"/>
      <c r="Z98" s="178"/>
      <c r="AA98" s="178"/>
      <c r="AB98" s="178"/>
      <c r="AC98" s="178"/>
      <c r="AD98" s="178"/>
      <c r="AE98" s="178"/>
      <c r="AF98" s="178"/>
      <c r="AG98" s="178"/>
      <c r="AH98" s="178"/>
      <c r="AI98" s="178"/>
      <c r="AJ98" s="178"/>
      <c r="AK98" s="178"/>
      <c r="AL98" s="178"/>
      <c r="AM98" s="178"/>
      <c r="AN98" s="178"/>
    </row>
    <row r="99" spans="1:40">
      <c r="A99" s="165"/>
      <c r="B99" s="165"/>
      <c r="C99" s="165"/>
      <c r="D99" s="165"/>
      <c r="E99" s="165"/>
      <c r="F99" s="165"/>
      <c r="G99" s="165"/>
      <c r="H99" s="165"/>
      <c r="I99" s="165"/>
      <c r="J99" s="7"/>
      <c r="K99" s="7"/>
      <c r="L99" s="7"/>
      <c r="M99" s="7"/>
      <c r="N99" s="7"/>
      <c r="O99" s="7"/>
      <c r="P99" s="165"/>
      <c r="Q99" s="178"/>
      <c r="R99" s="178"/>
      <c r="S99" s="178"/>
      <c r="T99" s="178"/>
      <c r="U99" s="178"/>
      <c r="V99" s="178"/>
      <c r="W99" s="178"/>
      <c r="X99" s="178"/>
      <c r="Y99" s="178"/>
      <c r="Z99" s="178"/>
      <c r="AA99" s="178"/>
      <c r="AB99" s="178"/>
      <c r="AC99" s="178"/>
      <c r="AD99" s="178"/>
      <c r="AE99" s="178"/>
      <c r="AF99" s="178"/>
      <c r="AG99" s="178"/>
      <c r="AH99" s="178"/>
      <c r="AI99" s="178"/>
      <c r="AJ99" s="178"/>
      <c r="AK99" s="178"/>
      <c r="AL99" s="178"/>
      <c r="AM99" s="178"/>
      <c r="AN99" s="178"/>
    </row>
    <row r="100" spans="1:40">
      <c r="A100" s="165"/>
      <c r="B100" s="165"/>
      <c r="C100" s="165"/>
      <c r="D100" s="165"/>
      <c r="E100" s="165"/>
      <c r="F100" s="165"/>
      <c r="G100" s="165"/>
      <c r="H100" s="165"/>
      <c r="I100" s="165"/>
      <c r="J100" s="7"/>
      <c r="K100" s="7"/>
      <c r="L100" s="7"/>
      <c r="M100" s="7"/>
      <c r="N100" s="7"/>
      <c r="O100" s="7"/>
      <c r="P100" s="165"/>
      <c r="Q100" s="178"/>
      <c r="R100" s="178"/>
      <c r="S100" s="178"/>
      <c r="T100" s="178"/>
      <c r="U100" s="178"/>
      <c r="V100" s="178"/>
      <c r="W100" s="178"/>
      <c r="X100" s="178"/>
      <c r="Y100" s="178"/>
      <c r="Z100" s="178"/>
      <c r="AA100" s="178"/>
      <c r="AB100" s="178"/>
      <c r="AC100" s="178"/>
      <c r="AD100" s="178"/>
      <c r="AE100" s="178"/>
      <c r="AF100" s="178"/>
      <c r="AG100" s="178"/>
      <c r="AH100" s="178"/>
      <c r="AI100" s="178"/>
      <c r="AJ100" s="178"/>
      <c r="AK100" s="178"/>
      <c r="AL100" s="178"/>
      <c r="AM100" s="178"/>
      <c r="AN100" s="178"/>
    </row>
    <row r="101" spans="1:40">
      <c r="A101" s="165"/>
      <c r="B101" s="165"/>
      <c r="C101" s="165"/>
      <c r="D101" s="165"/>
      <c r="E101" s="165"/>
      <c r="F101" s="165"/>
      <c r="G101" s="165"/>
      <c r="H101" s="165"/>
      <c r="I101" s="165"/>
      <c r="J101" s="7"/>
      <c r="K101" s="7"/>
      <c r="L101" s="7"/>
      <c r="M101" s="7"/>
      <c r="N101" s="7"/>
      <c r="O101" s="7"/>
      <c r="P101" s="165"/>
      <c r="Q101" s="178"/>
      <c r="R101" s="178"/>
      <c r="S101" s="178"/>
      <c r="T101" s="178"/>
      <c r="U101" s="178"/>
      <c r="V101" s="178"/>
      <c r="W101" s="178"/>
      <c r="X101" s="178"/>
      <c r="Y101" s="178"/>
      <c r="Z101" s="178"/>
      <c r="AA101" s="178"/>
      <c r="AB101" s="178"/>
      <c r="AC101" s="178"/>
      <c r="AD101" s="178"/>
      <c r="AE101" s="178"/>
      <c r="AF101" s="178"/>
      <c r="AG101" s="178"/>
      <c r="AH101" s="178"/>
      <c r="AI101" s="178"/>
      <c r="AJ101" s="178"/>
      <c r="AK101" s="178"/>
      <c r="AL101" s="178"/>
      <c r="AM101" s="178"/>
      <c r="AN101" s="178"/>
    </row>
    <row r="102" spans="1:40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165"/>
      <c r="Q102" s="178"/>
      <c r="R102" s="178"/>
      <c r="S102" s="178"/>
      <c r="T102" s="178"/>
      <c r="U102" s="178"/>
      <c r="V102" s="178"/>
      <c r="W102" s="178"/>
      <c r="X102" s="178"/>
      <c r="Y102" s="178"/>
      <c r="Z102" s="178"/>
      <c r="AA102" s="178"/>
      <c r="AB102" s="178"/>
      <c r="AC102" s="178"/>
      <c r="AD102" s="178"/>
      <c r="AE102" s="178"/>
      <c r="AF102" s="178"/>
      <c r="AG102" s="178"/>
      <c r="AH102" s="178"/>
      <c r="AI102" s="178"/>
      <c r="AJ102" s="178"/>
      <c r="AK102" s="178"/>
      <c r="AL102" s="178"/>
      <c r="AM102" s="178"/>
      <c r="AN102" s="178"/>
    </row>
    <row r="103" spans="1:40">
      <c r="A103" s="7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165"/>
      <c r="Q103" s="178"/>
      <c r="R103" s="178"/>
      <c r="S103" s="178"/>
      <c r="T103" s="178"/>
      <c r="U103" s="178"/>
      <c r="V103" s="178"/>
      <c r="W103" s="178"/>
      <c r="X103" s="178"/>
      <c r="Y103" s="178"/>
      <c r="Z103" s="178"/>
      <c r="AA103" s="178"/>
      <c r="AB103" s="178"/>
      <c r="AC103" s="178"/>
      <c r="AD103" s="178"/>
      <c r="AE103" s="178"/>
      <c r="AF103" s="178"/>
      <c r="AG103" s="178"/>
      <c r="AH103" s="178"/>
      <c r="AI103" s="178"/>
      <c r="AJ103" s="178"/>
      <c r="AK103" s="178"/>
      <c r="AL103" s="178"/>
      <c r="AM103" s="178"/>
      <c r="AN103" s="178"/>
    </row>
    <row r="104" spans="1:40">
      <c r="A104" s="7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165"/>
      <c r="Q104" s="178"/>
      <c r="R104" s="178"/>
      <c r="S104" s="178"/>
      <c r="T104" s="178"/>
      <c r="U104" s="178"/>
      <c r="V104" s="178"/>
      <c r="W104" s="178"/>
      <c r="X104" s="178"/>
      <c r="Y104" s="178"/>
      <c r="Z104" s="178"/>
      <c r="AA104" s="178"/>
      <c r="AB104" s="178"/>
      <c r="AC104" s="178"/>
      <c r="AD104" s="178"/>
      <c r="AE104" s="178"/>
      <c r="AF104" s="178"/>
      <c r="AG104" s="178"/>
      <c r="AH104" s="178"/>
      <c r="AI104" s="178"/>
      <c r="AJ104" s="178"/>
      <c r="AK104" s="178"/>
      <c r="AL104" s="178"/>
      <c r="AM104" s="178"/>
      <c r="AN104" s="178"/>
    </row>
    <row r="105" spans="1:40">
      <c r="A105" s="7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165"/>
      <c r="Q105" s="178"/>
      <c r="R105" s="178"/>
      <c r="S105" s="178"/>
      <c r="T105" s="178"/>
      <c r="U105" s="178"/>
      <c r="V105" s="178"/>
      <c r="W105" s="178"/>
      <c r="X105" s="178"/>
      <c r="Y105" s="178"/>
      <c r="Z105" s="178"/>
      <c r="AA105" s="178"/>
      <c r="AB105" s="178"/>
      <c r="AC105" s="178"/>
      <c r="AD105" s="178"/>
      <c r="AE105" s="178"/>
      <c r="AF105" s="178"/>
      <c r="AG105" s="178"/>
      <c r="AH105" s="178"/>
      <c r="AI105" s="178"/>
      <c r="AJ105" s="178"/>
      <c r="AK105" s="178"/>
      <c r="AL105" s="178"/>
      <c r="AM105" s="178"/>
      <c r="AN105" s="178"/>
    </row>
    <row r="106" spans="1:40">
      <c r="A106" s="7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165"/>
      <c r="Q106" s="178"/>
      <c r="R106" s="178"/>
      <c r="S106" s="178"/>
      <c r="T106" s="178"/>
      <c r="U106" s="178"/>
      <c r="V106" s="178"/>
      <c r="W106" s="178"/>
      <c r="X106" s="178"/>
      <c r="Y106" s="178"/>
      <c r="Z106" s="178"/>
      <c r="AA106" s="178"/>
      <c r="AB106" s="178"/>
      <c r="AC106" s="178"/>
      <c r="AD106" s="178"/>
      <c r="AE106" s="178"/>
      <c r="AF106" s="178"/>
      <c r="AG106" s="178"/>
      <c r="AH106" s="178"/>
      <c r="AI106" s="178"/>
      <c r="AJ106" s="178"/>
      <c r="AK106" s="178"/>
      <c r="AL106" s="178"/>
      <c r="AM106" s="178"/>
      <c r="AN106" s="178"/>
    </row>
    <row r="107" spans="1:40">
      <c r="A107" s="7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165"/>
      <c r="Q107" s="178"/>
      <c r="R107" s="178"/>
      <c r="S107" s="178"/>
      <c r="T107" s="178"/>
      <c r="U107" s="178"/>
      <c r="V107" s="178"/>
      <c r="W107" s="178"/>
      <c r="X107" s="178"/>
      <c r="Y107" s="178"/>
      <c r="Z107" s="178"/>
      <c r="AA107" s="178"/>
      <c r="AB107" s="178"/>
      <c r="AC107" s="178"/>
      <c r="AD107" s="178"/>
      <c r="AE107" s="178"/>
      <c r="AF107" s="178"/>
      <c r="AG107" s="178"/>
      <c r="AH107" s="178"/>
      <c r="AI107" s="178"/>
      <c r="AJ107" s="178"/>
      <c r="AK107" s="178"/>
      <c r="AL107" s="178"/>
      <c r="AM107" s="178"/>
      <c r="AN107" s="178"/>
    </row>
    <row r="108" spans="1:40">
      <c r="A108" s="7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165"/>
      <c r="Q108" s="178"/>
      <c r="R108" s="178"/>
      <c r="S108" s="178"/>
      <c r="T108" s="178"/>
      <c r="U108" s="178"/>
      <c r="V108" s="178"/>
      <c r="W108" s="178"/>
      <c r="X108" s="178"/>
      <c r="Y108" s="178"/>
      <c r="Z108" s="178"/>
      <c r="AA108" s="178"/>
      <c r="AB108" s="178"/>
      <c r="AC108" s="178"/>
      <c r="AD108" s="178"/>
      <c r="AE108" s="178"/>
      <c r="AF108" s="178"/>
      <c r="AG108" s="178"/>
      <c r="AH108" s="178"/>
      <c r="AI108" s="178"/>
      <c r="AJ108" s="178"/>
      <c r="AK108" s="178"/>
      <c r="AL108" s="178"/>
      <c r="AM108" s="178"/>
      <c r="AN108" s="178"/>
    </row>
    <row r="109" spans="1:40">
      <c r="A109" s="7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165"/>
      <c r="Q109" s="178"/>
      <c r="R109" s="178"/>
      <c r="S109" s="178"/>
      <c r="T109" s="178"/>
      <c r="U109" s="178"/>
      <c r="V109" s="178"/>
      <c r="W109" s="178"/>
      <c r="X109" s="178"/>
      <c r="Y109" s="178"/>
      <c r="Z109" s="178"/>
      <c r="AA109" s="178"/>
      <c r="AB109" s="178"/>
      <c r="AC109" s="178"/>
      <c r="AD109" s="178"/>
      <c r="AE109" s="178"/>
      <c r="AF109" s="178"/>
      <c r="AG109" s="178"/>
      <c r="AH109" s="178"/>
      <c r="AI109" s="178"/>
      <c r="AJ109" s="178"/>
      <c r="AK109" s="178"/>
      <c r="AL109" s="178"/>
      <c r="AM109" s="178"/>
      <c r="AN109" s="178"/>
    </row>
    <row r="110" spans="1:40">
      <c r="A110" s="7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165"/>
      <c r="Q110" s="178"/>
      <c r="R110" s="178"/>
      <c r="S110" s="178"/>
      <c r="T110" s="178"/>
      <c r="U110" s="178"/>
      <c r="V110" s="178"/>
      <c r="W110" s="178"/>
      <c r="X110" s="178"/>
      <c r="Y110" s="178"/>
      <c r="Z110" s="178"/>
      <c r="AA110" s="178"/>
      <c r="AB110" s="178"/>
      <c r="AC110" s="178"/>
      <c r="AD110" s="178"/>
      <c r="AE110" s="178"/>
      <c r="AF110" s="178"/>
      <c r="AG110" s="178"/>
      <c r="AH110" s="178"/>
      <c r="AI110" s="178"/>
      <c r="AJ110" s="178"/>
      <c r="AK110" s="178"/>
      <c r="AL110" s="178"/>
      <c r="AM110" s="178"/>
      <c r="AN110" s="178"/>
    </row>
    <row r="111" spans="1:40">
      <c r="A111" s="7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165"/>
      <c r="Q111" s="178"/>
      <c r="R111" s="178"/>
      <c r="S111" s="178"/>
      <c r="T111" s="178"/>
      <c r="U111" s="178"/>
      <c r="V111" s="178"/>
      <c r="W111" s="178"/>
      <c r="X111" s="178"/>
      <c r="Y111" s="178"/>
      <c r="Z111" s="178"/>
      <c r="AA111" s="178"/>
      <c r="AB111" s="178"/>
      <c r="AC111" s="178"/>
      <c r="AD111" s="178"/>
      <c r="AE111" s="178"/>
      <c r="AF111" s="178"/>
      <c r="AG111" s="178"/>
      <c r="AH111" s="178"/>
      <c r="AI111" s="178"/>
      <c r="AJ111" s="178"/>
      <c r="AK111" s="178"/>
      <c r="AL111" s="178"/>
      <c r="AM111" s="178"/>
      <c r="AN111" s="178"/>
    </row>
    <row r="112" spans="1:40">
      <c r="A112" s="7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165"/>
      <c r="Q112" s="178"/>
      <c r="R112" s="178"/>
      <c r="S112" s="178"/>
      <c r="T112" s="178"/>
      <c r="U112" s="178"/>
      <c r="V112" s="178"/>
      <c r="W112" s="178"/>
      <c r="X112" s="178"/>
      <c r="Y112" s="178"/>
      <c r="Z112" s="178"/>
      <c r="AA112" s="178"/>
      <c r="AB112" s="178"/>
      <c r="AC112" s="178"/>
      <c r="AD112" s="178"/>
      <c r="AE112" s="178"/>
      <c r="AF112" s="178"/>
      <c r="AG112" s="178"/>
      <c r="AH112" s="178"/>
      <c r="AI112" s="178"/>
      <c r="AJ112" s="178"/>
      <c r="AK112" s="178"/>
      <c r="AL112" s="178"/>
      <c r="AM112" s="178"/>
      <c r="AN112" s="178"/>
    </row>
    <row r="113" spans="1:40">
      <c r="A113" s="7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165"/>
      <c r="Q113" s="178"/>
      <c r="R113" s="178"/>
      <c r="S113" s="178"/>
      <c r="T113" s="178"/>
      <c r="U113" s="178"/>
      <c r="V113" s="178"/>
      <c r="W113" s="178"/>
      <c r="X113" s="178"/>
      <c r="Y113" s="178"/>
      <c r="Z113" s="178"/>
      <c r="AA113" s="178"/>
      <c r="AB113" s="178"/>
      <c r="AC113" s="178"/>
      <c r="AD113" s="178"/>
      <c r="AE113" s="178"/>
      <c r="AF113" s="178"/>
      <c r="AG113" s="178"/>
      <c r="AH113" s="178"/>
      <c r="AI113" s="178"/>
      <c r="AJ113" s="178"/>
      <c r="AK113" s="178"/>
      <c r="AL113" s="178"/>
      <c r="AM113" s="178"/>
      <c r="AN113" s="178"/>
    </row>
    <row r="114" spans="1:40">
      <c r="A114" s="7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165"/>
      <c r="Q114" s="178"/>
      <c r="R114" s="178"/>
      <c r="S114" s="178"/>
      <c r="T114" s="178"/>
      <c r="U114" s="178"/>
      <c r="V114" s="178"/>
      <c r="W114" s="178"/>
      <c r="X114" s="178"/>
      <c r="Y114" s="178"/>
      <c r="Z114" s="178"/>
      <c r="AA114" s="178"/>
      <c r="AB114" s="178"/>
      <c r="AC114" s="178"/>
      <c r="AD114" s="178"/>
      <c r="AE114" s="178"/>
      <c r="AF114" s="178"/>
      <c r="AG114" s="178"/>
      <c r="AH114" s="178"/>
      <c r="AI114" s="178"/>
      <c r="AJ114" s="178"/>
      <c r="AK114" s="178"/>
      <c r="AL114" s="178"/>
      <c r="AM114" s="178"/>
      <c r="AN114" s="178"/>
    </row>
    <row r="115" spans="1:40">
      <c r="A115" s="7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165"/>
      <c r="Q115" s="178"/>
      <c r="R115" s="178"/>
      <c r="S115" s="178"/>
      <c r="T115" s="178"/>
      <c r="U115" s="178"/>
      <c r="V115" s="178"/>
      <c r="W115" s="178"/>
      <c r="X115" s="178"/>
      <c r="Y115" s="178"/>
      <c r="Z115" s="178"/>
      <c r="AA115" s="178"/>
      <c r="AB115" s="178"/>
      <c r="AC115" s="178"/>
      <c r="AD115" s="178"/>
      <c r="AE115" s="178"/>
      <c r="AF115" s="178"/>
      <c r="AG115" s="178"/>
      <c r="AH115" s="178"/>
      <c r="AI115" s="178"/>
      <c r="AJ115" s="178"/>
      <c r="AK115" s="178"/>
      <c r="AL115" s="178"/>
      <c r="AM115" s="178"/>
      <c r="AN115" s="178"/>
    </row>
    <row r="116" spans="1:40">
      <c r="A116" s="7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165"/>
      <c r="Q116" s="178"/>
      <c r="R116" s="178"/>
      <c r="S116" s="178"/>
      <c r="T116" s="178"/>
      <c r="U116" s="178"/>
      <c r="V116" s="178"/>
      <c r="W116" s="178"/>
      <c r="X116" s="178"/>
      <c r="Y116" s="178"/>
      <c r="Z116" s="178"/>
      <c r="AA116" s="178"/>
      <c r="AB116" s="178"/>
      <c r="AC116" s="178"/>
      <c r="AD116" s="178"/>
      <c r="AE116" s="178"/>
      <c r="AF116" s="178"/>
      <c r="AG116" s="178"/>
      <c r="AH116" s="178"/>
      <c r="AI116" s="178"/>
      <c r="AJ116" s="178"/>
      <c r="AK116" s="178"/>
      <c r="AL116" s="178"/>
      <c r="AM116" s="178"/>
      <c r="AN116" s="178"/>
    </row>
    <row r="117" spans="1:40">
      <c r="A117" s="7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165"/>
      <c r="Q117" s="178"/>
      <c r="R117" s="178"/>
      <c r="S117" s="178"/>
      <c r="T117" s="178"/>
      <c r="U117" s="178"/>
      <c r="V117" s="178"/>
      <c r="W117" s="178"/>
      <c r="X117" s="178"/>
      <c r="Y117" s="178"/>
      <c r="Z117" s="178"/>
      <c r="AA117" s="178"/>
      <c r="AB117" s="178"/>
      <c r="AC117" s="178"/>
      <c r="AD117" s="178"/>
      <c r="AE117" s="178"/>
      <c r="AF117" s="178"/>
      <c r="AG117" s="178"/>
      <c r="AH117" s="178"/>
      <c r="AI117" s="178"/>
      <c r="AJ117" s="178"/>
      <c r="AK117" s="178"/>
      <c r="AL117" s="178"/>
      <c r="AM117" s="178"/>
      <c r="AN117" s="178"/>
    </row>
    <row r="118" spans="1:40">
      <c r="A118" s="7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165"/>
      <c r="Q118" s="178"/>
      <c r="R118" s="178"/>
      <c r="S118" s="178"/>
      <c r="T118" s="178"/>
      <c r="U118" s="178"/>
      <c r="V118" s="178"/>
      <c r="W118" s="178"/>
      <c r="X118" s="178"/>
      <c r="Y118" s="178"/>
      <c r="Z118" s="178"/>
      <c r="AA118" s="178"/>
      <c r="AB118" s="178"/>
      <c r="AC118" s="178"/>
      <c r="AD118" s="178"/>
      <c r="AE118" s="178"/>
      <c r="AF118" s="178"/>
      <c r="AG118" s="178"/>
      <c r="AH118" s="178"/>
      <c r="AI118" s="178"/>
      <c r="AJ118" s="178"/>
      <c r="AK118" s="178"/>
      <c r="AL118" s="178"/>
      <c r="AM118" s="178"/>
      <c r="AN118" s="178"/>
    </row>
    <row r="119" spans="1:40">
      <c r="A119" s="7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165"/>
      <c r="Q119" s="178"/>
      <c r="R119" s="178"/>
      <c r="S119" s="178"/>
      <c r="T119" s="178"/>
      <c r="U119" s="178"/>
      <c r="V119" s="178"/>
      <c r="W119" s="178"/>
      <c r="X119" s="178"/>
      <c r="Y119" s="178"/>
      <c r="Z119" s="178"/>
      <c r="AA119" s="178"/>
      <c r="AB119" s="178"/>
      <c r="AC119" s="178"/>
      <c r="AD119" s="178"/>
      <c r="AE119" s="178"/>
      <c r="AF119" s="178"/>
      <c r="AG119" s="178"/>
      <c r="AH119" s="178"/>
      <c r="AI119" s="178"/>
      <c r="AJ119" s="178"/>
      <c r="AK119" s="178"/>
      <c r="AL119" s="178"/>
      <c r="AM119" s="178"/>
      <c r="AN119" s="178"/>
    </row>
    <row r="120" spans="1:40">
      <c r="A120" s="7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165"/>
      <c r="Q120" s="178"/>
      <c r="R120" s="178"/>
      <c r="S120" s="178"/>
      <c r="T120" s="178"/>
      <c r="U120" s="178"/>
      <c r="V120" s="178"/>
      <c r="W120" s="178"/>
      <c r="X120" s="178"/>
      <c r="Y120" s="178"/>
      <c r="Z120" s="178"/>
      <c r="AA120" s="178"/>
      <c r="AB120" s="178"/>
      <c r="AC120" s="178"/>
      <c r="AD120" s="178"/>
      <c r="AE120" s="178"/>
      <c r="AF120" s="178"/>
      <c r="AG120" s="178"/>
      <c r="AH120" s="178"/>
      <c r="AI120" s="178"/>
      <c r="AJ120" s="178"/>
      <c r="AK120" s="178"/>
      <c r="AL120" s="178"/>
      <c r="AM120" s="178"/>
      <c r="AN120" s="178"/>
    </row>
    <row r="121" spans="1:40">
      <c r="A121" s="7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165"/>
      <c r="Q121" s="178"/>
      <c r="R121" s="178"/>
      <c r="S121" s="178"/>
      <c r="T121" s="178"/>
      <c r="U121" s="178"/>
      <c r="V121" s="178"/>
      <c r="W121" s="178"/>
      <c r="X121" s="178"/>
      <c r="Y121" s="178"/>
      <c r="Z121" s="178"/>
      <c r="AA121" s="178"/>
      <c r="AB121" s="178"/>
      <c r="AC121" s="178"/>
      <c r="AD121" s="178"/>
      <c r="AE121" s="178"/>
      <c r="AF121" s="178"/>
      <c r="AG121" s="178"/>
      <c r="AH121" s="178"/>
      <c r="AI121" s="178"/>
      <c r="AJ121" s="178"/>
      <c r="AK121" s="178"/>
      <c r="AL121" s="178"/>
      <c r="AM121" s="178"/>
      <c r="AN121" s="178"/>
    </row>
    <row r="122" spans="1:40">
      <c r="A122" s="7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165"/>
      <c r="Q122" s="178"/>
      <c r="R122" s="178"/>
      <c r="S122" s="178"/>
      <c r="T122" s="178"/>
      <c r="U122" s="178"/>
      <c r="V122" s="178"/>
      <c r="W122" s="178"/>
      <c r="X122" s="178"/>
      <c r="Y122" s="178"/>
      <c r="Z122" s="178"/>
      <c r="AA122" s="178"/>
      <c r="AB122" s="178"/>
      <c r="AC122" s="178"/>
      <c r="AD122" s="178"/>
      <c r="AE122" s="178"/>
      <c r="AF122" s="178"/>
      <c r="AG122" s="178"/>
      <c r="AH122" s="178"/>
      <c r="AI122" s="178"/>
      <c r="AJ122" s="178"/>
      <c r="AK122" s="178"/>
      <c r="AL122" s="178"/>
      <c r="AM122" s="178"/>
      <c r="AN122" s="178"/>
    </row>
    <row r="123" spans="1:40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165"/>
      <c r="Q123" s="178"/>
      <c r="R123" s="178"/>
      <c r="S123" s="178"/>
      <c r="T123" s="178"/>
      <c r="U123" s="178"/>
      <c r="V123" s="178"/>
      <c r="W123" s="178"/>
      <c r="X123" s="178"/>
      <c r="Y123" s="178"/>
      <c r="Z123" s="178"/>
      <c r="AA123" s="178"/>
      <c r="AB123" s="178"/>
      <c r="AC123" s="178"/>
      <c r="AD123" s="178"/>
      <c r="AE123" s="178"/>
      <c r="AF123" s="178"/>
      <c r="AG123" s="178"/>
      <c r="AH123" s="178"/>
      <c r="AI123" s="178"/>
      <c r="AJ123" s="178"/>
      <c r="AK123" s="178"/>
      <c r="AL123" s="178"/>
      <c r="AM123" s="178"/>
      <c r="AN123" s="178"/>
    </row>
    <row r="124" spans="1:40">
      <c r="A124" s="7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165"/>
      <c r="Q124" s="178"/>
      <c r="R124" s="178"/>
      <c r="S124" s="178"/>
      <c r="T124" s="178"/>
      <c r="U124" s="178"/>
      <c r="V124" s="178"/>
      <c r="W124" s="178"/>
      <c r="X124" s="178"/>
      <c r="Y124" s="178"/>
      <c r="Z124" s="178"/>
      <c r="AA124" s="178"/>
      <c r="AB124" s="178"/>
      <c r="AC124" s="178"/>
      <c r="AD124" s="178"/>
      <c r="AE124" s="178"/>
      <c r="AF124" s="178"/>
      <c r="AG124" s="178"/>
      <c r="AH124" s="178"/>
      <c r="AI124" s="178"/>
      <c r="AJ124" s="178"/>
      <c r="AK124" s="178"/>
      <c r="AL124" s="178"/>
      <c r="AM124" s="178"/>
      <c r="AN124" s="178"/>
    </row>
    <row r="125" spans="1:40">
      <c r="A125" s="7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165"/>
      <c r="Q125" s="178"/>
      <c r="R125" s="178"/>
      <c r="S125" s="178"/>
      <c r="T125" s="178"/>
      <c r="U125" s="178"/>
      <c r="V125" s="178"/>
      <c r="W125" s="178"/>
      <c r="X125" s="178"/>
      <c r="Y125" s="178"/>
      <c r="Z125" s="178"/>
      <c r="AA125" s="178"/>
      <c r="AB125" s="178"/>
      <c r="AC125" s="178"/>
      <c r="AD125" s="178"/>
      <c r="AE125" s="178"/>
      <c r="AF125" s="178"/>
      <c r="AG125" s="178"/>
      <c r="AH125" s="178"/>
      <c r="AI125" s="178"/>
      <c r="AJ125" s="178"/>
      <c r="AK125" s="178"/>
      <c r="AL125" s="178"/>
      <c r="AM125" s="178"/>
      <c r="AN125" s="178"/>
    </row>
    <row r="126" spans="1:40">
      <c r="A126" s="7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165"/>
      <c r="Q126" s="178"/>
      <c r="R126" s="178"/>
      <c r="S126" s="178"/>
      <c r="T126" s="178"/>
      <c r="U126" s="178"/>
      <c r="V126" s="178"/>
      <c r="W126" s="178"/>
      <c r="X126" s="178"/>
      <c r="Y126" s="178"/>
      <c r="Z126" s="178"/>
      <c r="AA126" s="178"/>
      <c r="AB126" s="178"/>
      <c r="AC126" s="178"/>
      <c r="AD126" s="178"/>
      <c r="AE126" s="178"/>
      <c r="AF126" s="178"/>
      <c r="AG126" s="178"/>
      <c r="AH126" s="178"/>
      <c r="AI126" s="178"/>
      <c r="AJ126" s="178"/>
      <c r="AK126" s="178"/>
      <c r="AL126" s="178"/>
      <c r="AM126" s="178"/>
      <c r="AN126" s="178"/>
    </row>
    <row r="127" spans="1:40">
      <c r="A127" s="7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165"/>
      <c r="Q127" s="178"/>
      <c r="R127" s="178"/>
      <c r="S127" s="178"/>
      <c r="T127" s="178"/>
      <c r="U127" s="178"/>
      <c r="V127" s="178"/>
      <c r="W127" s="178"/>
      <c r="X127" s="178"/>
      <c r="Y127" s="178"/>
      <c r="Z127" s="178"/>
      <c r="AA127" s="178"/>
      <c r="AB127" s="178"/>
      <c r="AC127" s="178"/>
      <c r="AD127" s="178"/>
      <c r="AE127" s="178"/>
      <c r="AF127" s="178"/>
      <c r="AG127" s="178"/>
      <c r="AH127" s="178"/>
      <c r="AI127" s="178"/>
      <c r="AJ127" s="178"/>
      <c r="AK127" s="178"/>
      <c r="AL127" s="178"/>
      <c r="AM127" s="178"/>
      <c r="AN127" s="178"/>
    </row>
    <row r="128" spans="1:40">
      <c r="A128" s="7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165"/>
      <c r="Q128" s="178"/>
      <c r="R128" s="178"/>
      <c r="S128" s="178"/>
      <c r="T128" s="178"/>
      <c r="U128" s="178"/>
      <c r="V128" s="178"/>
      <c r="W128" s="178"/>
      <c r="X128" s="178"/>
      <c r="Y128" s="178"/>
      <c r="Z128" s="178"/>
      <c r="AA128" s="178"/>
      <c r="AB128" s="178"/>
      <c r="AC128" s="178"/>
      <c r="AD128" s="178"/>
      <c r="AE128" s="178"/>
      <c r="AF128" s="178"/>
      <c r="AG128" s="178"/>
      <c r="AH128" s="178"/>
      <c r="AI128" s="178"/>
      <c r="AJ128" s="178"/>
      <c r="AK128" s="178"/>
      <c r="AL128" s="178"/>
      <c r="AM128" s="178"/>
      <c r="AN128" s="178"/>
    </row>
    <row r="129" spans="1:40">
      <c r="A129" s="7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165"/>
      <c r="Q129" s="178"/>
      <c r="R129" s="178"/>
      <c r="S129" s="178"/>
      <c r="T129" s="178"/>
      <c r="U129" s="178"/>
      <c r="V129" s="178"/>
      <c r="W129" s="178"/>
      <c r="X129" s="178"/>
      <c r="Y129" s="178"/>
      <c r="Z129" s="178"/>
      <c r="AA129" s="178"/>
      <c r="AB129" s="178"/>
      <c r="AC129" s="178"/>
      <c r="AD129" s="178"/>
      <c r="AE129" s="178"/>
      <c r="AF129" s="178"/>
      <c r="AG129" s="178"/>
      <c r="AH129" s="178"/>
      <c r="AI129" s="178"/>
      <c r="AJ129" s="178"/>
      <c r="AK129" s="178"/>
      <c r="AL129" s="178"/>
      <c r="AM129" s="178"/>
      <c r="AN129" s="178"/>
    </row>
    <row r="130" spans="1:40">
      <c r="A130" s="7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165"/>
      <c r="Q130" s="178"/>
      <c r="R130" s="178"/>
      <c r="S130" s="178"/>
      <c r="T130" s="178"/>
      <c r="U130" s="178"/>
      <c r="V130" s="178"/>
      <c r="W130" s="178"/>
      <c r="X130" s="178"/>
      <c r="Y130" s="178"/>
      <c r="Z130" s="178"/>
      <c r="AA130" s="178"/>
      <c r="AB130" s="178"/>
      <c r="AC130" s="178"/>
      <c r="AD130" s="178"/>
      <c r="AE130" s="178"/>
      <c r="AF130" s="178"/>
      <c r="AG130" s="178"/>
      <c r="AH130" s="178"/>
      <c r="AI130" s="178"/>
      <c r="AJ130" s="178"/>
      <c r="AK130" s="178"/>
      <c r="AL130" s="178"/>
      <c r="AM130" s="178"/>
      <c r="AN130" s="178"/>
    </row>
    <row r="131" spans="1:40">
      <c r="A131" s="7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165"/>
      <c r="Q131" s="178"/>
      <c r="R131" s="178"/>
      <c r="S131" s="178"/>
      <c r="T131" s="178"/>
      <c r="U131" s="178"/>
      <c r="V131" s="178"/>
      <c r="W131" s="178"/>
      <c r="X131" s="178"/>
      <c r="Y131" s="178"/>
      <c r="Z131" s="178"/>
      <c r="AA131" s="178"/>
      <c r="AB131" s="178"/>
      <c r="AC131" s="178"/>
      <c r="AD131" s="178"/>
      <c r="AE131" s="178"/>
      <c r="AF131" s="178"/>
      <c r="AG131" s="178"/>
      <c r="AH131" s="178"/>
      <c r="AI131" s="178"/>
      <c r="AJ131" s="178"/>
      <c r="AK131" s="178"/>
      <c r="AL131" s="178"/>
      <c r="AM131" s="178"/>
      <c r="AN131" s="178"/>
    </row>
    <row r="132" spans="1:40">
      <c r="A132" s="7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165"/>
      <c r="Q132" s="178"/>
      <c r="R132" s="178"/>
      <c r="S132" s="178"/>
      <c r="T132" s="178"/>
      <c r="U132" s="178"/>
      <c r="V132" s="178"/>
      <c r="W132" s="178"/>
      <c r="X132" s="178"/>
      <c r="Y132" s="178"/>
      <c r="Z132" s="178"/>
      <c r="AA132" s="178"/>
      <c r="AB132" s="178"/>
      <c r="AC132" s="178"/>
      <c r="AD132" s="178"/>
      <c r="AE132" s="178"/>
      <c r="AF132" s="178"/>
      <c r="AG132" s="178"/>
      <c r="AH132" s="178"/>
      <c r="AI132" s="178"/>
      <c r="AJ132" s="178"/>
      <c r="AK132" s="178"/>
      <c r="AL132" s="178"/>
      <c r="AM132" s="178"/>
      <c r="AN132" s="178"/>
    </row>
    <row r="133" spans="1:40">
      <c r="A133" s="7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165"/>
      <c r="Q133" s="178"/>
      <c r="R133" s="178"/>
      <c r="S133" s="178"/>
      <c r="T133" s="178"/>
      <c r="U133" s="178"/>
      <c r="V133" s="178"/>
      <c r="W133" s="178"/>
      <c r="X133" s="178"/>
      <c r="Y133" s="178"/>
      <c r="Z133" s="178"/>
      <c r="AA133" s="178"/>
      <c r="AB133" s="178"/>
      <c r="AC133" s="178"/>
      <c r="AD133" s="178"/>
      <c r="AE133" s="178"/>
      <c r="AF133" s="178"/>
      <c r="AG133" s="178"/>
      <c r="AH133" s="178"/>
      <c r="AI133" s="178"/>
      <c r="AJ133" s="178"/>
      <c r="AK133" s="178"/>
      <c r="AL133" s="178"/>
      <c r="AM133" s="178"/>
      <c r="AN133" s="178"/>
    </row>
    <row r="134" spans="1:40">
      <c r="A134" s="7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165"/>
      <c r="Q134" s="178"/>
      <c r="R134" s="178"/>
      <c r="S134" s="178"/>
      <c r="T134" s="178"/>
      <c r="U134" s="178"/>
      <c r="V134" s="178"/>
      <c r="W134" s="178"/>
      <c r="X134" s="178"/>
      <c r="Y134" s="178"/>
      <c r="Z134" s="178"/>
      <c r="AA134" s="178"/>
      <c r="AB134" s="178"/>
      <c r="AC134" s="178"/>
      <c r="AD134" s="178"/>
      <c r="AE134" s="178"/>
      <c r="AF134" s="178"/>
      <c r="AG134" s="178"/>
      <c r="AH134" s="178"/>
      <c r="AI134" s="178"/>
      <c r="AJ134" s="178"/>
      <c r="AK134" s="178"/>
      <c r="AL134" s="178"/>
      <c r="AM134" s="178"/>
      <c r="AN134" s="178"/>
    </row>
    <row r="135" spans="1:40">
      <c r="A135" s="7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165"/>
      <c r="Q135" s="178"/>
      <c r="R135" s="178"/>
      <c r="S135" s="178"/>
      <c r="T135" s="178"/>
      <c r="U135" s="178"/>
      <c r="V135" s="178"/>
      <c r="W135" s="178"/>
      <c r="X135" s="178"/>
      <c r="Y135" s="178"/>
      <c r="Z135" s="178"/>
      <c r="AA135" s="178"/>
      <c r="AB135" s="178"/>
      <c r="AC135" s="178"/>
      <c r="AD135" s="178"/>
      <c r="AE135" s="178"/>
      <c r="AF135" s="178"/>
      <c r="AG135" s="178"/>
      <c r="AH135" s="178"/>
      <c r="AI135" s="178"/>
      <c r="AJ135" s="178"/>
      <c r="AK135" s="178"/>
      <c r="AL135" s="178"/>
      <c r="AM135" s="178"/>
      <c r="AN135" s="178"/>
    </row>
    <row r="136" spans="1:40">
      <c r="A136" s="7"/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165"/>
      <c r="Q136" s="178"/>
      <c r="R136" s="178"/>
      <c r="S136" s="178"/>
      <c r="T136" s="178"/>
      <c r="U136" s="178"/>
      <c r="V136" s="178"/>
      <c r="W136" s="178"/>
      <c r="X136" s="178"/>
      <c r="Y136" s="178"/>
      <c r="Z136" s="178"/>
      <c r="AA136" s="178"/>
      <c r="AB136" s="178"/>
      <c r="AC136" s="178"/>
      <c r="AD136" s="178"/>
      <c r="AE136" s="178"/>
      <c r="AF136" s="178"/>
      <c r="AG136" s="178"/>
      <c r="AH136" s="178"/>
      <c r="AI136" s="178"/>
      <c r="AJ136" s="178"/>
      <c r="AK136" s="178"/>
      <c r="AL136" s="178"/>
      <c r="AM136" s="178"/>
      <c r="AN136" s="178"/>
    </row>
    <row r="137" spans="1:40">
      <c r="A137" s="7"/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165"/>
      <c r="Q137" s="178"/>
      <c r="R137" s="178"/>
      <c r="S137" s="178"/>
      <c r="T137" s="178"/>
      <c r="U137" s="178"/>
      <c r="V137" s="178"/>
      <c r="W137" s="178"/>
      <c r="X137" s="178"/>
      <c r="Y137" s="178"/>
      <c r="Z137" s="178"/>
      <c r="AA137" s="178"/>
      <c r="AB137" s="178"/>
      <c r="AC137" s="178"/>
      <c r="AD137" s="178"/>
      <c r="AE137" s="178"/>
      <c r="AF137" s="178"/>
      <c r="AG137" s="178"/>
      <c r="AH137" s="178"/>
      <c r="AI137" s="178"/>
      <c r="AJ137" s="178"/>
      <c r="AK137" s="178"/>
      <c r="AL137" s="178"/>
      <c r="AM137" s="178"/>
      <c r="AN137" s="178"/>
    </row>
    <row r="138" spans="1:40">
      <c r="A138" s="7"/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165"/>
      <c r="Q138" s="178"/>
      <c r="R138" s="178"/>
      <c r="S138" s="178"/>
      <c r="T138" s="178"/>
      <c r="U138" s="178"/>
      <c r="V138" s="178"/>
      <c r="W138" s="178"/>
      <c r="X138" s="178"/>
      <c r="Y138" s="178"/>
      <c r="Z138" s="178"/>
      <c r="AA138" s="178"/>
      <c r="AB138" s="178"/>
      <c r="AC138" s="178"/>
      <c r="AD138" s="178"/>
      <c r="AE138" s="178"/>
      <c r="AF138" s="178"/>
      <c r="AG138" s="178"/>
      <c r="AH138" s="178"/>
      <c r="AI138" s="178"/>
      <c r="AJ138" s="178"/>
      <c r="AK138" s="178"/>
      <c r="AL138" s="178"/>
      <c r="AM138" s="178"/>
      <c r="AN138" s="178"/>
    </row>
    <row r="139" spans="1:40">
      <c r="A139" s="7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165"/>
      <c r="Q139" s="178"/>
      <c r="R139" s="178"/>
      <c r="S139" s="178"/>
      <c r="T139" s="178"/>
      <c r="U139" s="178"/>
      <c r="V139" s="178"/>
      <c r="W139" s="178"/>
      <c r="X139" s="178"/>
      <c r="Y139" s="178"/>
      <c r="Z139" s="178"/>
      <c r="AA139" s="178"/>
      <c r="AB139" s="178"/>
      <c r="AC139" s="178"/>
      <c r="AD139" s="178"/>
      <c r="AE139" s="178"/>
      <c r="AF139" s="178"/>
      <c r="AG139" s="178"/>
      <c r="AH139" s="178"/>
      <c r="AI139" s="178"/>
      <c r="AJ139" s="178"/>
      <c r="AK139" s="178"/>
      <c r="AL139" s="178"/>
      <c r="AM139" s="178"/>
      <c r="AN139" s="178"/>
    </row>
    <row r="140" spans="1:40">
      <c r="A140" s="7"/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165"/>
      <c r="Q140" s="178"/>
      <c r="R140" s="178"/>
      <c r="S140" s="178"/>
      <c r="T140" s="178"/>
      <c r="U140" s="178"/>
      <c r="V140" s="178"/>
      <c r="W140" s="178"/>
      <c r="X140" s="178"/>
      <c r="Y140" s="178"/>
      <c r="Z140" s="178"/>
      <c r="AA140" s="178"/>
      <c r="AB140" s="178"/>
      <c r="AC140" s="178"/>
      <c r="AD140" s="178"/>
      <c r="AE140" s="178"/>
      <c r="AF140" s="178"/>
      <c r="AG140" s="178"/>
      <c r="AH140" s="178"/>
      <c r="AI140" s="178"/>
      <c r="AJ140" s="178"/>
      <c r="AK140" s="178"/>
      <c r="AL140" s="178"/>
      <c r="AM140" s="178"/>
      <c r="AN140" s="178"/>
    </row>
    <row r="141" spans="1:40">
      <c r="A141" s="7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165"/>
      <c r="Q141" s="178"/>
      <c r="R141" s="178"/>
      <c r="S141" s="178"/>
      <c r="T141" s="178"/>
      <c r="U141" s="178"/>
      <c r="V141" s="178"/>
      <c r="W141" s="178"/>
      <c r="X141" s="178"/>
      <c r="Y141" s="178"/>
      <c r="Z141" s="178"/>
      <c r="AA141" s="178"/>
      <c r="AB141" s="178"/>
      <c r="AC141" s="178"/>
      <c r="AD141" s="178"/>
      <c r="AE141" s="178"/>
      <c r="AF141" s="178"/>
      <c r="AG141" s="178"/>
      <c r="AH141" s="178"/>
      <c r="AI141" s="178"/>
      <c r="AJ141" s="178"/>
      <c r="AK141" s="178"/>
      <c r="AL141" s="178"/>
      <c r="AM141" s="178"/>
      <c r="AN141" s="178"/>
    </row>
    <row r="142" spans="1:40">
      <c r="A142" s="7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165"/>
      <c r="Q142" s="178"/>
      <c r="R142" s="178"/>
      <c r="S142" s="178"/>
      <c r="T142" s="178"/>
      <c r="U142" s="178"/>
      <c r="V142" s="178"/>
      <c r="W142" s="178"/>
      <c r="X142" s="178"/>
      <c r="Y142" s="178"/>
      <c r="Z142" s="178"/>
      <c r="AA142" s="178"/>
      <c r="AB142" s="178"/>
      <c r="AC142" s="178"/>
      <c r="AD142" s="178"/>
      <c r="AE142" s="178"/>
      <c r="AF142" s="178"/>
      <c r="AG142" s="178"/>
      <c r="AH142" s="178"/>
      <c r="AI142" s="178"/>
      <c r="AJ142" s="178"/>
      <c r="AK142" s="178"/>
      <c r="AL142" s="178"/>
      <c r="AM142" s="178"/>
      <c r="AN142" s="178"/>
    </row>
    <row r="143" spans="1:40">
      <c r="A143" s="7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165"/>
      <c r="Q143" s="178"/>
      <c r="R143" s="178"/>
      <c r="S143" s="178"/>
      <c r="T143" s="178"/>
      <c r="U143" s="178"/>
      <c r="V143" s="178"/>
      <c r="W143" s="178"/>
      <c r="X143" s="178"/>
      <c r="Y143" s="178"/>
      <c r="Z143" s="178"/>
      <c r="AA143" s="178"/>
      <c r="AB143" s="178"/>
      <c r="AC143" s="178"/>
      <c r="AD143" s="178"/>
      <c r="AE143" s="178"/>
      <c r="AF143" s="178"/>
      <c r="AG143" s="178"/>
      <c r="AH143" s="178"/>
      <c r="AI143" s="178"/>
      <c r="AJ143" s="178"/>
      <c r="AK143" s="178"/>
      <c r="AL143" s="178"/>
      <c r="AM143" s="178"/>
      <c r="AN143" s="178"/>
    </row>
    <row r="144" spans="1:40">
      <c r="A144" s="7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165"/>
      <c r="Q144" s="178"/>
      <c r="R144" s="178"/>
      <c r="S144" s="178"/>
      <c r="T144" s="178"/>
      <c r="U144" s="178"/>
      <c r="V144" s="178"/>
      <c r="W144" s="178"/>
      <c r="X144" s="178"/>
      <c r="Y144" s="178"/>
      <c r="Z144" s="178"/>
      <c r="AA144" s="178"/>
      <c r="AB144" s="178"/>
      <c r="AC144" s="178"/>
      <c r="AD144" s="178"/>
      <c r="AE144" s="178"/>
      <c r="AF144" s="178"/>
      <c r="AG144" s="178"/>
      <c r="AH144" s="178"/>
      <c r="AI144" s="178"/>
      <c r="AJ144" s="178"/>
      <c r="AK144" s="178"/>
      <c r="AL144" s="178"/>
      <c r="AM144" s="178"/>
      <c r="AN144" s="178"/>
    </row>
    <row r="145" spans="1:40">
      <c r="A145" s="7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165"/>
      <c r="Q145" s="178"/>
      <c r="R145" s="178"/>
      <c r="S145" s="178"/>
      <c r="T145" s="178"/>
      <c r="U145" s="178"/>
      <c r="V145" s="178"/>
      <c r="W145" s="178"/>
      <c r="X145" s="178"/>
      <c r="Y145" s="178"/>
      <c r="Z145" s="178"/>
      <c r="AA145" s="178"/>
      <c r="AB145" s="178"/>
      <c r="AC145" s="178"/>
      <c r="AD145" s="178"/>
      <c r="AE145" s="178"/>
      <c r="AF145" s="178"/>
      <c r="AG145" s="178"/>
      <c r="AH145" s="178"/>
      <c r="AI145" s="178"/>
      <c r="AJ145" s="178"/>
      <c r="AK145" s="178"/>
      <c r="AL145" s="178"/>
      <c r="AM145" s="178"/>
      <c r="AN145" s="178"/>
    </row>
    <row r="146" spans="1:40">
      <c r="A146" s="7"/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165"/>
      <c r="Q146" s="178"/>
      <c r="R146" s="178"/>
      <c r="S146" s="178"/>
      <c r="T146" s="178"/>
      <c r="U146" s="178"/>
      <c r="V146" s="178"/>
      <c r="W146" s="178"/>
      <c r="X146" s="178"/>
      <c r="Y146" s="178"/>
      <c r="Z146" s="178"/>
      <c r="AA146" s="178"/>
      <c r="AB146" s="178"/>
      <c r="AC146" s="178"/>
      <c r="AD146" s="178"/>
      <c r="AE146" s="178"/>
      <c r="AF146" s="178"/>
      <c r="AG146" s="178"/>
      <c r="AH146" s="178"/>
      <c r="AI146" s="178"/>
      <c r="AJ146" s="178"/>
      <c r="AK146" s="178"/>
      <c r="AL146" s="178"/>
      <c r="AM146" s="178"/>
      <c r="AN146" s="178"/>
    </row>
    <row r="147" spans="1:40">
      <c r="A147" s="7"/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165"/>
      <c r="Q147" s="178"/>
      <c r="R147" s="178"/>
      <c r="S147" s="178"/>
      <c r="T147" s="178"/>
      <c r="U147" s="178"/>
      <c r="V147" s="178"/>
      <c r="W147" s="178"/>
      <c r="X147" s="178"/>
      <c r="Y147" s="178"/>
      <c r="Z147" s="178"/>
      <c r="AA147" s="178"/>
      <c r="AB147" s="178"/>
      <c r="AC147" s="178"/>
      <c r="AD147" s="178"/>
      <c r="AE147" s="178"/>
      <c r="AF147" s="178"/>
      <c r="AG147" s="178"/>
      <c r="AH147" s="178"/>
      <c r="AI147" s="178"/>
      <c r="AJ147" s="178"/>
      <c r="AK147" s="178"/>
      <c r="AL147" s="178"/>
      <c r="AM147" s="178"/>
      <c r="AN147" s="178"/>
    </row>
    <row r="148" spans="1:40">
      <c r="A148" s="7"/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165"/>
      <c r="Q148" s="178"/>
      <c r="R148" s="178"/>
      <c r="S148" s="178"/>
      <c r="T148" s="178"/>
      <c r="U148" s="178"/>
      <c r="V148" s="178"/>
      <c r="W148" s="178"/>
      <c r="X148" s="178"/>
      <c r="Y148" s="178"/>
      <c r="Z148" s="178"/>
      <c r="AA148" s="178"/>
      <c r="AB148" s="178"/>
      <c r="AC148" s="178"/>
      <c r="AD148" s="178"/>
      <c r="AE148" s="178"/>
      <c r="AF148" s="178"/>
      <c r="AG148" s="178"/>
      <c r="AH148" s="178"/>
      <c r="AI148" s="178"/>
      <c r="AJ148" s="178"/>
      <c r="AK148" s="178"/>
      <c r="AL148" s="178"/>
      <c r="AM148" s="178"/>
      <c r="AN148" s="178"/>
    </row>
    <row r="149" spans="1:40">
      <c r="A149" s="7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165"/>
      <c r="Q149" s="178"/>
      <c r="R149" s="178"/>
      <c r="S149" s="178"/>
      <c r="T149" s="178"/>
      <c r="U149" s="178"/>
      <c r="V149" s="178"/>
      <c r="W149" s="178"/>
      <c r="X149" s="178"/>
      <c r="Y149" s="178"/>
      <c r="Z149" s="178"/>
      <c r="AA149" s="178"/>
      <c r="AB149" s="178"/>
      <c r="AC149" s="178"/>
      <c r="AD149" s="178"/>
      <c r="AE149" s="178"/>
      <c r="AF149" s="178"/>
      <c r="AG149" s="178"/>
      <c r="AH149" s="178"/>
      <c r="AI149" s="178"/>
      <c r="AJ149" s="178"/>
      <c r="AK149" s="178"/>
      <c r="AL149" s="178"/>
      <c r="AM149" s="178"/>
      <c r="AN149" s="178"/>
    </row>
    <row r="150" spans="1:40">
      <c r="A150" s="7"/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165"/>
      <c r="Q150" s="178"/>
      <c r="R150" s="178"/>
      <c r="S150" s="178"/>
      <c r="T150" s="178"/>
      <c r="U150" s="178"/>
      <c r="V150" s="178"/>
      <c r="W150" s="178"/>
      <c r="X150" s="178"/>
      <c r="Y150" s="178"/>
      <c r="Z150" s="178"/>
      <c r="AA150" s="178"/>
      <c r="AB150" s="178"/>
      <c r="AC150" s="178"/>
      <c r="AD150" s="178"/>
      <c r="AE150" s="178"/>
      <c r="AF150" s="178"/>
      <c r="AG150" s="178"/>
      <c r="AH150" s="178"/>
      <c r="AI150" s="178"/>
      <c r="AJ150" s="178"/>
      <c r="AK150" s="178"/>
      <c r="AL150" s="178"/>
      <c r="AM150" s="178"/>
      <c r="AN150" s="178"/>
    </row>
    <row r="151" spans="1:40">
      <c r="A151" s="7"/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165"/>
      <c r="Q151" s="178"/>
      <c r="R151" s="178"/>
      <c r="S151" s="178"/>
      <c r="T151" s="178"/>
      <c r="U151" s="178"/>
      <c r="V151" s="178"/>
      <c r="W151" s="178"/>
      <c r="X151" s="178"/>
      <c r="Y151" s="178"/>
      <c r="Z151" s="178"/>
      <c r="AA151" s="178"/>
      <c r="AB151" s="178"/>
      <c r="AC151" s="178"/>
      <c r="AD151" s="178"/>
      <c r="AE151" s="178"/>
      <c r="AF151" s="178"/>
      <c r="AG151" s="178"/>
      <c r="AH151" s="178"/>
      <c r="AI151" s="178"/>
      <c r="AJ151" s="178"/>
      <c r="AK151" s="178"/>
      <c r="AL151" s="178"/>
      <c r="AM151" s="178"/>
      <c r="AN151" s="178"/>
    </row>
    <row r="152" spans="1:40">
      <c r="A152" s="7"/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165"/>
      <c r="Q152" s="178"/>
      <c r="R152" s="178"/>
      <c r="S152" s="178"/>
      <c r="T152" s="178"/>
      <c r="U152" s="178"/>
      <c r="V152" s="178"/>
      <c r="W152" s="178"/>
      <c r="X152" s="178"/>
      <c r="Y152" s="178"/>
      <c r="Z152" s="178"/>
      <c r="AA152" s="178"/>
      <c r="AB152" s="178"/>
      <c r="AC152" s="178"/>
      <c r="AD152" s="178"/>
      <c r="AE152" s="178"/>
      <c r="AF152" s="178"/>
      <c r="AG152" s="178"/>
      <c r="AH152" s="178"/>
      <c r="AI152" s="178"/>
      <c r="AJ152" s="178"/>
      <c r="AK152" s="178"/>
      <c r="AL152" s="178"/>
      <c r="AM152" s="178"/>
      <c r="AN152" s="178"/>
    </row>
    <row r="153" spans="1:40">
      <c r="A153" s="7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165"/>
      <c r="Q153" s="178"/>
      <c r="R153" s="178"/>
      <c r="S153" s="178"/>
      <c r="T153" s="178"/>
      <c r="U153" s="178"/>
      <c r="V153" s="178"/>
      <c r="W153" s="178"/>
      <c r="X153" s="178"/>
      <c r="Y153" s="178"/>
      <c r="Z153" s="178"/>
      <c r="AA153" s="178"/>
      <c r="AB153" s="178"/>
      <c r="AC153" s="178"/>
      <c r="AD153" s="178"/>
      <c r="AE153" s="178"/>
      <c r="AF153" s="178"/>
      <c r="AG153" s="178"/>
      <c r="AH153" s="178"/>
      <c r="AI153" s="178"/>
      <c r="AJ153" s="178"/>
      <c r="AK153" s="178"/>
      <c r="AL153" s="178"/>
      <c r="AM153" s="178"/>
      <c r="AN153" s="178"/>
    </row>
    <row r="154" spans="1:40">
      <c r="A154" s="7"/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165"/>
      <c r="Q154" s="178"/>
      <c r="R154" s="178"/>
      <c r="S154" s="178"/>
      <c r="T154" s="178"/>
      <c r="U154" s="178"/>
      <c r="V154" s="178"/>
      <c r="W154" s="178"/>
      <c r="X154" s="178"/>
      <c r="Y154" s="178"/>
      <c r="Z154" s="178"/>
      <c r="AA154" s="178"/>
      <c r="AB154" s="178"/>
      <c r="AC154" s="178"/>
      <c r="AD154" s="178"/>
      <c r="AE154" s="178"/>
      <c r="AF154" s="178"/>
      <c r="AG154" s="178"/>
      <c r="AH154" s="178"/>
      <c r="AI154" s="178"/>
      <c r="AJ154" s="178"/>
      <c r="AK154" s="178"/>
      <c r="AL154" s="178"/>
      <c r="AM154" s="178"/>
      <c r="AN154" s="178"/>
    </row>
    <row r="155" spans="1:40">
      <c r="A155" s="7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</row>
    <row r="156" spans="1:40">
      <c r="A156" s="7"/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</row>
    <row r="157" spans="1:40">
      <c r="A157" s="7"/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</row>
    <row r="158" spans="1:40">
      <c r="A158" s="7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</row>
    <row r="159" spans="1:40">
      <c r="A159" s="7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</row>
    <row r="160" spans="1:40">
      <c r="A160" s="7"/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</row>
    <row r="161" spans="1:16">
      <c r="A161" s="7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</row>
    <row r="162" spans="1:16">
      <c r="A162" s="7"/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</row>
  </sheetData>
  <phoneticPr fontId="14" type="noConversion"/>
  <pageMargins left="0.78" right="0.75" top="0.75" bottom="1" header="0" footer="0"/>
  <pageSetup paperSize="9" orientation="portrait" horizontalDpi="300" verticalDpi="300" r:id="rId1"/>
  <headerFooter alignWithMargins="0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>
    <pageSetUpPr fitToPage="1"/>
  </sheetPr>
  <dimension ref="A1:BG574"/>
  <sheetViews>
    <sheetView zoomScaleNormal="100" workbookViewId="0">
      <pane ySplit="6" topLeftCell="A7" activePane="bottomLeft" state="frozen"/>
      <selection pane="bottomLeft" activeCell="B10" sqref="B10"/>
    </sheetView>
  </sheetViews>
  <sheetFormatPr baseColWidth="10" defaultColWidth="9.140625" defaultRowHeight="12.75"/>
  <cols>
    <col min="1" max="1" width="46.85546875" customWidth="1"/>
    <col min="2" max="2" width="18" hidden="1" customWidth="1"/>
    <col min="3" max="3" width="16.140625" customWidth="1"/>
    <col min="4" max="4" width="55.42578125" customWidth="1"/>
    <col min="7" max="7" width="44.140625" customWidth="1"/>
    <col min="8" max="8" width="11.42578125" customWidth="1"/>
    <col min="9" max="9" width="16.5703125" customWidth="1"/>
    <col min="10" max="10" width="11.28515625" customWidth="1"/>
    <col min="12" max="12" width="56" customWidth="1"/>
  </cols>
  <sheetData>
    <row r="1" spans="1:59">
      <c r="A1" s="6" t="s">
        <v>389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</row>
    <row r="2" spans="1:59">
      <c r="A2" s="6" t="s">
        <v>390</v>
      </c>
      <c r="B2" s="7"/>
      <c r="C2" s="7"/>
      <c r="D2" s="7"/>
      <c r="E2" s="7"/>
      <c r="F2" s="7"/>
      <c r="G2" s="183" t="s">
        <v>359</v>
      </c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</row>
    <row r="3" spans="1:59">
      <c r="A3" s="178"/>
      <c r="B3" s="178"/>
      <c r="C3" s="178"/>
      <c r="D3" s="178"/>
      <c r="E3" s="7"/>
      <c r="F3" s="7"/>
      <c r="G3" s="140" t="s">
        <v>349</v>
      </c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</row>
    <row r="4" spans="1:59">
      <c r="A4" s="13"/>
      <c r="B4" s="13"/>
      <c r="C4" s="133" t="s">
        <v>82</v>
      </c>
      <c r="D4" s="13" t="s">
        <v>2</v>
      </c>
      <c r="E4" s="7" t="s">
        <v>2</v>
      </c>
      <c r="F4" s="7"/>
      <c r="G4" s="178"/>
      <c r="H4" s="165"/>
      <c r="I4" s="165"/>
      <c r="J4" s="165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</row>
    <row r="5" spans="1:59">
      <c r="A5" s="136" t="s">
        <v>360</v>
      </c>
      <c r="B5" s="66" t="s">
        <v>2</v>
      </c>
      <c r="C5" s="134" t="s">
        <v>123</v>
      </c>
      <c r="D5" s="66" t="s">
        <v>2</v>
      </c>
      <c r="E5" s="6"/>
      <c r="F5" s="6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</row>
    <row r="6" spans="1:59" ht="14.25">
      <c r="A6" s="32"/>
      <c r="B6" s="32" t="s">
        <v>31</v>
      </c>
      <c r="C6" s="154" t="s">
        <v>361</v>
      </c>
      <c r="D6" s="32" t="s">
        <v>12</v>
      </c>
      <c r="E6" s="6"/>
      <c r="F6" s="6"/>
      <c r="G6" s="7"/>
      <c r="H6" s="7"/>
      <c r="I6" s="7"/>
      <c r="J6" s="7"/>
      <c r="K6" s="7"/>
      <c r="L6" s="165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</row>
    <row r="7" spans="1:59">
      <c r="A7" s="6" t="s">
        <v>6</v>
      </c>
      <c r="B7" s="7" t="s">
        <v>2</v>
      </c>
      <c r="C7" s="65"/>
      <c r="D7" s="7"/>
      <c r="E7" s="7"/>
      <c r="F7" s="7"/>
      <c r="G7" s="7"/>
      <c r="H7" s="7"/>
      <c r="I7" s="7"/>
      <c r="J7" s="7"/>
      <c r="K7" s="7"/>
      <c r="L7" s="165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</row>
    <row r="8" spans="1:59">
      <c r="A8" s="6" t="s">
        <v>30</v>
      </c>
      <c r="B8" s="6" t="s">
        <v>31</v>
      </c>
      <c r="C8" s="65"/>
      <c r="D8" s="6"/>
      <c r="E8" s="7"/>
      <c r="F8" s="7"/>
      <c r="G8" s="184" t="s">
        <v>362</v>
      </c>
      <c r="H8" s="185"/>
      <c r="I8" s="185"/>
      <c r="J8" s="185"/>
      <c r="K8" s="7"/>
      <c r="L8" s="165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</row>
    <row r="9" spans="1:59">
      <c r="A9" s="6"/>
      <c r="B9" s="6"/>
      <c r="C9" s="65"/>
      <c r="D9" s="6"/>
      <c r="E9" s="7"/>
      <c r="F9" s="7"/>
      <c r="G9" s="7" t="str">
        <f>VLOOKUP(Lugar!E84,Lugar!A65:E78,2)</f>
        <v>Salta</v>
      </c>
      <c r="H9" s="7">
        <f>VLOOKUP(Lugar!E84,Lugar!A65:E78,4)</f>
        <v>9</v>
      </c>
      <c r="I9" s="186" t="s">
        <v>363</v>
      </c>
      <c r="J9" s="165"/>
      <c r="K9" s="178"/>
      <c r="L9" s="165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</row>
    <row r="10" spans="1:59">
      <c r="A10" s="210" t="s">
        <v>410</v>
      </c>
      <c r="B10" s="188">
        <f>0.111+0.063+0.05</f>
        <v>0.22399999999999998</v>
      </c>
      <c r="C10" s="189">
        <f>1/B10</f>
        <v>4.4642857142857144</v>
      </c>
      <c r="D10" s="139" t="s">
        <v>37</v>
      </c>
      <c r="E10" s="7"/>
      <c r="F10" s="7"/>
      <c r="G10" s="187" t="s">
        <v>364</v>
      </c>
      <c r="H10" s="219">
        <f>+H9/3.6</f>
        <v>2.5</v>
      </c>
      <c r="I10" s="186" t="s">
        <v>365</v>
      </c>
      <c r="J10" s="165"/>
      <c r="K10" s="178"/>
      <c r="L10" s="165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</row>
    <row r="11" spans="1:59">
      <c r="A11" s="139" t="s">
        <v>159</v>
      </c>
      <c r="B11" s="189">
        <f>0.025/0.044+$B$10</f>
        <v>0.79218181818181821</v>
      </c>
      <c r="C11" s="189">
        <f>1/B11</f>
        <v>1.2623364700481983</v>
      </c>
      <c r="D11" s="139"/>
      <c r="E11" s="7"/>
      <c r="F11" s="7"/>
      <c r="G11" s="165"/>
      <c r="H11" s="185"/>
      <c r="I11" s="185"/>
      <c r="J11" s="165"/>
      <c r="K11" s="178"/>
      <c r="L11" s="165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</row>
    <row r="12" spans="1:59">
      <c r="A12" s="139" t="s">
        <v>148</v>
      </c>
      <c r="B12" s="189">
        <f>0.05/0.044+$B$10</f>
        <v>1.3603636363636364</v>
      </c>
      <c r="C12" s="189">
        <f>1/B12</f>
        <v>0.73509756749532207</v>
      </c>
      <c r="D12" s="139"/>
      <c r="E12" s="7"/>
      <c r="F12" s="7"/>
      <c r="G12" s="184" t="s">
        <v>443</v>
      </c>
      <c r="H12" s="185"/>
      <c r="I12" s="185"/>
      <c r="J12" s="165"/>
      <c r="K12" s="178"/>
      <c r="L12" s="184" t="s">
        <v>444</v>
      </c>
      <c r="M12" s="185"/>
      <c r="N12" s="185"/>
      <c r="O12" s="165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</row>
    <row r="13" spans="1:59">
      <c r="A13" s="139" t="s">
        <v>149</v>
      </c>
      <c r="B13" s="189">
        <f>0.075/0.044+$B$10</f>
        <v>1.9285454545454546</v>
      </c>
      <c r="C13" s="189">
        <f>1/B13</f>
        <v>0.51852550202696335</v>
      </c>
      <c r="D13" s="139"/>
      <c r="E13" s="7"/>
      <c r="F13" s="7"/>
      <c r="G13" s="190" t="s">
        <v>435</v>
      </c>
      <c r="H13" s="191" t="s">
        <v>298</v>
      </c>
      <c r="I13" s="191" t="s">
        <v>340</v>
      </c>
      <c r="J13" s="192" t="s">
        <v>366</v>
      </c>
      <c r="K13" s="178"/>
      <c r="L13" s="190" t="s">
        <v>435</v>
      </c>
      <c r="M13" s="191" t="s">
        <v>298</v>
      </c>
      <c r="N13" s="191" t="s">
        <v>340</v>
      </c>
      <c r="O13" s="192" t="s">
        <v>366</v>
      </c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</row>
    <row r="14" spans="1:59">
      <c r="A14" s="139" t="s">
        <v>150</v>
      </c>
      <c r="B14" s="189">
        <f>0.1/0.044+$B$10</f>
        <v>2.4967272727272727</v>
      </c>
      <c r="C14" s="189">
        <f>1/B14</f>
        <v>0.40052432274978156</v>
      </c>
      <c r="D14" s="139"/>
      <c r="E14" s="7"/>
      <c r="F14" s="7"/>
      <c r="G14" s="193" t="s">
        <v>436</v>
      </c>
      <c r="H14" s="194" t="s">
        <v>341</v>
      </c>
      <c r="I14" s="194" t="s">
        <v>342</v>
      </c>
      <c r="J14" s="195" t="s">
        <v>123</v>
      </c>
      <c r="K14" s="178"/>
      <c r="L14" s="193" t="s">
        <v>436</v>
      </c>
      <c r="M14" s="194" t="s">
        <v>341</v>
      </c>
      <c r="N14" s="194" t="s">
        <v>342</v>
      </c>
      <c r="O14" s="195" t="s">
        <v>123</v>
      </c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</row>
    <row r="15" spans="1:59">
      <c r="A15" s="7"/>
      <c r="B15" s="64"/>
      <c r="C15" s="64"/>
      <c r="D15" s="7"/>
      <c r="E15" s="7"/>
      <c r="F15" s="7"/>
      <c r="G15" s="285" t="s">
        <v>335</v>
      </c>
      <c r="H15" s="197">
        <v>0.16</v>
      </c>
      <c r="I15" s="197">
        <v>0.82</v>
      </c>
      <c r="J15" s="198">
        <f>+H15/I15</f>
        <v>0.1951219512195122</v>
      </c>
      <c r="K15" s="178"/>
      <c r="L15" s="286" t="s">
        <v>445</v>
      </c>
      <c r="M15" s="197">
        <v>0.12</v>
      </c>
      <c r="N15" s="197">
        <v>1.73</v>
      </c>
      <c r="O15" s="198">
        <f>+M15/N15</f>
        <v>6.9364161849710976E-2</v>
      </c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</row>
    <row r="16" spans="1:59">
      <c r="A16" s="210" t="s">
        <v>409</v>
      </c>
      <c r="B16" s="188">
        <f>0.111+0.16+0.05</f>
        <v>0.32100000000000001</v>
      </c>
      <c r="C16" s="189">
        <f>1/B16</f>
        <v>3.1152647975077881</v>
      </c>
      <c r="D16" s="139" t="s">
        <v>40</v>
      </c>
      <c r="E16" s="7"/>
      <c r="F16" s="7"/>
      <c r="G16" s="286" t="s">
        <v>339</v>
      </c>
      <c r="H16" s="197">
        <v>0.05</v>
      </c>
      <c r="I16" s="197">
        <v>4.3999999999999997E-2</v>
      </c>
      <c r="J16" s="198">
        <f t="shared" ref="J16:J21" si="0">+H16/I16</f>
        <v>1.1363636363636365</v>
      </c>
      <c r="K16" s="178"/>
      <c r="L16" s="286" t="s">
        <v>339</v>
      </c>
      <c r="M16" s="197">
        <v>0.05</v>
      </c>
      <c r="N16" s="197">
        <v>4.3999999999999997E-2</v>
      </c>
      <c r="O16" s="198">
        <f t="shared" ref="O16:O21" si="1">+M16/N16</f>
        <v>1.1363636363636365</v>
      </c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</row>
    <row r="17" spans="1:59">
      <c r="A17" s="139" t="s">
        <v>147</v>
      </c>
      <c r="B17" s="189">
        <f>0.025/0.044+$B$16</f>
        <v>0.8891818181818183</v>
      </c>
      <c r="C17" s="189">
        <f>1/B17</f>
        <v>1.1246293834986196</v>
      </c>
      <c r="D17" s="139"/>
      <c r="E17" s="7"/>
      <c r="F17" s="7"/>
      <c r="G17" s="286" t="s">
        <v>437</v>
      </c>
      <c r="H17" s="197">
        <v>2.5000000000000001E-2</v>
      </c>
      <c r="I17" s="197">
        <v>1.1599999999999999</v>
      </c>
      <c r="J17" s="198">
        <f t="shared" si="0"/>
        <v>2.1551724137931036E-2</v>
      </c>
      <c r="K17" s="178"/>
      <c r="L17" s="287" t="s">
        <v>447</v>
      </c>
      <c r="M17" s="197">
        <v>0.1</v>
      </c>
      <c r="N17" s="197">
        <v>0.19</v>
      </c>
      <c r="O17" s="198">
        <f t="shared" si="1"/>
        <v>0.52631578947368418</v>
      </c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</row>
    <row r="18" spans="1:59">
      <c r="A18" s="139" t="s">
        <v>148</v>
      </c>
      <c r="B18" s="189">
        <f>0.05/0.044+B16</f>
        <v>1.4573636363636364</v>
      </c>
      <c r="C18" s="189">
        <f>1/B18</f>
        <v>0.68617054456989579</v>
      </c>
      <c r="D18" s="139"/>
      <c r="E18" s="7"/>
      <c r="F18" s="7"/>
      <c r="G18" s="285" t="s">
        <v>338</v>
      </c>
      <c r="H18" s="197">
        <v>0</v>
      </c>
      <c r="I18" s="197">
        <v>1</v>
      </c>
      <c r="J18" s="198">
        <f t="shared" si="0"/>
        <v>0</v>
      </c>
      <c r="K18" s="178"/>
      <c r="L18" s="286" t="s">
        <v>446</v>
      </c>
      <c r="M18" s="197">
        <v>4.0000000000000001E-3</v>
      </c>
      <c r="N18" s="197">
        <v>0.3</v>
      </c>
      <c r="O18" s="198">
        <f t="shared" si="1"/>
        <v>1.3333333333333334E-2</v>
      </c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</row>
    <row r="19" spans="1:59">
      <c r="A19" s="139" t="s">
        <v>149</v>
      </c>
      <c r="B19" s="189">
        <f>0.075/0.044+B16</f>
        <v>2.0255454545454548</v>
      </c>
      <c r="C19" s="189">
        <f>1/B19</f>
        <v>0.49369417889681788</v>
      </c>
      <c r="D19" s="139"/>
      <c r="E19" s="7"/>
      <c r="F19" s="7"/>
      <c r="G19" s="286" t="s">
        <v>440</v>
      </c>
      <c r="H19" s="197">
        <v>0</v>
      </c>
      <c r="I19" s="197">
        <v>1</v>
      </c>
      <c r="J19" s="198">
        <f t="shared" si="0"/>
        <v>0</v>
      </c>
      <c r="K19" s="178"/>
      <c r="L19" s="286" t="s">
        <v>440</v>
      </c>
      <c r="M19" s="197">
        <v>0</v>
      </c>
      <c r="N19" s="197">
        <v>1</v>
      </c>
      <c r="O19" s="198">
        <f t="shared" si="1"/>
        <v>0</v>
      </c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</row>
    <row r="20" spans="1:59">
      <c r="A20" s="139" t="s">
        <v>150</v>
      </c>
      <c r="B20" s="189">
        <f>0.1/0.044+$B$16</f>
        <v>2.5937272727272731</v>
      </c>
      <c r="C20" s="189">
        <f>1/B20</f>
        <v>0.38554554694893267</v>
      </c>
      <c r="D20" s="139"/>
      <c r="E20" s="7"/>
      <c r="F20" s="7"/>
      <c r="G20" s="286" t="s">
        <v>441</v>
      </c>
      <c r="H20" s="199">
        <v>0</v>
      </c>
      <c r="I20" s="199">
        <v>1</v>
      </c>
      <c r="J20" s="200">
        <f t="shared" si="0"/>
        <v>0</v>
      </c>
      <c r="K20" s="178"/>
      <c r="L20" s="286" t="s">
        <v>441</v>
      </c>
      <c r="M20" s="199">
        <v>0</v>
      </c>
      <c r="N20" s="199">
        <v>1</v>
      </c>
      <c r="O20" s="200">
        <f t="shared" si="1"/>
        <v>0</v>
      </c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</row>
    <row r="21" spans="1:59">
      <c r="A21" s="7"/>
      <c r="B21" s="64"/>
      <c r="C21" s="64"/>
      <c r="D21" s="7"/>
      <c r="E21" s="7"/>
      <c r="F21" s="7"/>
      <c r="G21" s="286" t="s">
        <v>442</v>
      </c>
      <c r="H21" s="199">
        <v>0</v>
      </c>
      <c r="I21" s="199">
        <v>1</v>
      </c>
      <c r="J21" s="200">
        <f t="shared" si="0"/>
        <v>0</v>
      </c>
      <c r="K21" s="178"/>
      <c r="L21" s="286" t="s">
        <v>442</v>
      </c>
      <c r="M21" s="199">
        <v>0</v>
      </c>
      <c r="N21" s="199">
        <v>1</v>
      </c>
      <c r="O21" s="200">
        <f t="shared" si="1"/>
        <v>0</v>
      </c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</row>
    <row r="22" spans="1:59">
      <c r="A22" s="210" t="s">
        <v>408</v>
      </c>
      <c r="B22" s="188">
        <f>0.1/1.73+0.111+0.05</f>
        <v>0.21880346820809249</v>
      </c>
      <c r="C22" s="189">
        <f>1/B22</f>
        <v>4.5703114680474464</v>
      </c>
      <c r="D22" s="139"/>
      <c r="E22" s="7"/>
      <c r="F22" s="7"/>
      <c r="G22" s="178"/>
      <c r="H22" s="178"/>
      <c r="I22" s="178"/>
      <c r="J22" s="198">
        <f>SUM(J15:J21)</f>
        <v>1.3530373117210797</v>
      </c>
      <c r="K22" s="178"/>
      <c r="L22" s="178"/>
      <c r="M22" s="178"/>
      <c r="N22" s="178"/>
      <c r="O22" s="198">
        <f>SUM(O15:O21)</f>
        <v>1.7453769210203649</v>
      </c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</row>
    <row r="23" spans="1:59">
      <c r="A23" s="139" t="s">
        <v>147</v>
      </c>
      <c r="B23" s="189">
        <f>0.025/0.044+$B$22</f>
        <v>0.78698528638991072</v>
      </c>
      <c r="C23" s="189">
        <f>1/B23</f>
        <v>1.2706717867461521</v>
      </c>
      <c r="D23" s="139"/>
      <c r="E23" s="7"/>
      <c r="F23" s="7"/>
      <c r="G23" s="201" t="s">
        <v>330</v>
      </c>
      <c r="H23" s="185"/>
      <c r="I23" s="185"/>
      <c r="J23" s="165"/>
      <c r="K23" s="178"/>
      <c r="L23" s="201" t="s">
        <v>330</v>
      </c>
      <c r="M23" s="185"/>
      <c r="N23" s="185"/>
      <c r="O23" s="165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</row>
    <row r="24" spans="1:59">
      <c r="A24" s="139" t="s">
        <v>148</v>
      </c>
      <c r="B24" s="189">
        <f>0.05/0.044+$B$22</f>
        <v>1.3551671045717288</v>
      </c>
      <c r="C24" s="189">
        <f>1/B24</f>
        <v>0.73791637697406198</v>
      </c>
      <c r="D24" s="139"/>
      <c r="E24" s="7"/>
      <c r="F24" s="7"/>
      <c r="G24" s="284" t="s">
        <v>438</v>
      </c>
      <c r="H24" s="196">
        <v>5.7</v>
      </c>
      <c r="I24" s="202" t="s">
        <v>331</v>
      </c>
      <c r="J24" s="203"/>
      <c r="K24" s="178"/>
      <c r="L24" s="284" t="s">
        <v>438</v>
      </c>
      <c r="M24" s="196">
        <v>5.7</v>
      </c>
      <c r="N24" s="202" t="s">
        <v>331</v>
      </c>
      <c r="O24" s="203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</row>
    <row r="25" spans="1:59">
      <c r="A25" s="139" t="s">
        <v>149</v>
      </c>
      <c r="B25" s="189">
        <f>0.075/0.044+$B$22</f>
        <v>1.9233489227535472</v>
      </c>
      <c r="C25" s="189">
        <f>1/B25</f>
        <v>0.51992646168868728</v>
      </c>
      <c r="D25" s="139"/>
      <c r="E25" s="7"/>
      <c r="F25" s="7"/>
      <c r="G25" s="284" t="s">
        <v>439</v>
      </c>
      <c r="H25" s="196">
        <f>5.7+3.6*H10</f>
        <v>14.7</v>
      </c>
      <c r="I25" s="196" t="s">
        <v>332</v>
      </c>
      <c r="J25" s="203"/>
      <c r="K25" s="178"/>
      <c r="L25" s="284" t="s">
        <v>439</v>
      </c>
      <c r="M25" s="196">
        <f>5.7+3.6*M10</f>
        <v>5.7</v>
      </c>
      <c r="N25" s="196" t="s">
        <v>332</v>
      </c>
      <c r="O25" s="203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</row>
    <row r="26" spans="1:59">
      <c r="A26" s="139" t="s">
        <v>150</v>
      </c>
      <c r="B26" s="189">
        <f>0.1/0.044+$B$22</f>
        <v>2.4915307409353655</v>
      </c>
      <c r="C26" s="189">
        <f>1/B26</f>
        <v>0.40135968766918845</v>
      </c>
      <c r="D26" s="139"/>
      <c r="E26" s="7"/>
      <c r="F26" s="7"/>
      <c r="G26" s="185"/>
      <c r="H26" s="178"/>
      <c r="I26" s="178"/>
      <c r="J26" s="165"/>
      <c r="K26" s="165"/>
      <c r="L26" s="185"/>
      <c r="M26" s="178"/>
      <c r="N26" s="178"/>
      <c r="O26" s="165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</row>
    <row r="27" spans="1:59" ht="13.5" thickBot="1">
      <c r="A27" s="7"/>
      <c r="B27" s="64"/>
      <c r="C27" s="64"/>
      <c r="D27" s="7"/>
      <c r="E27" s="7"/>
      <c r="F27" s="7"/>
      <c r="G27" s="185" t="s">
        <v>333</v>
      </c>
      <c r="H27" s="204">
        <f>1/H24+1/H25+J22</f>
        <v>1.5965031190966614</v>
      </c>
      <c r="I27" s="185" t="s">
        <v>334</v>
      </c>
      <c r="J27" s="165"/>
      <c r="K27" s="165"/>
      <c r="L27" s="185" t="s">
        <v>333</v>
      </c>
      <c r="M27" s="204">
        <f>1/M24+1/M25+O22</f>
        <v>2.096254114002821</v>
      </c>
      <c r="N27" s="185" t="s">
        <v>334</v>
      </c>
      <c r="O27" s="165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</row>
    <row r="28" spans="1:59" ht="13.5" thickBot="1">
      <c r="A28" s="139" t="s">
        <v>154</v>
      </c>
      <c r="B28" s="188">
        <f>0.12/0.73+0.111+0.05</f>
        <v>0.32538356164383558</v>
      </c>
      <c r="C28" s="189">
        <f>1/B28</f>
        <v>3.073296004715194</v>
      </c>
      <c r="D28" s="139"/>
      <c r="E28" s="7" t="s">
        <v>2</v>
      </c>
      <c r="F28" s="7"/>
      <c r="G28" s="205" t="s">
        <v>367</v>
      </c>
      <c r="H28" s="206">
        <f>1/H27</f>
        <v>0.62636896103643269</v>
      </c>
      <c r="I28" s="207" t="s">
        <v>316</v>
      </c>
      <c r="J28" s="165"/>
      <c r="K28" s="165"/>
      <c r="L28" s="205" t="s">
        <v>367</v>
      </c>
      <c r="M28" s="206">
        <f>1/M27</f>
        <v>0.47704140128817141</v>
      </c>
      <c r="N28" s="207" t="s">
        <v>316</v>
      </c>
      <c r="O28" s="165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</row>
    <row r="29" spans="1:59">
      <c r="A29" s="139" t="s">
        <v>147</v>
      </c>
      <c r="B29" s="189">
        <f>0.025/0.044+$B$28</f>
        <v>0.89356537982565376</v>
      </c>
      <c r="C29" s="189">
        <f>1/B29</f>
        <v>1.1191122916994758</v>
      </c>
      <c r="D29" s="139"/>
      <c r="E29" s="7"/>
      <c r="F29" s="7"/>
      <c r="G29" s="165"/>
      <c r="H29" s="165"/>
      <c r="I29" s="165"/>
      <c r="J29" s="165"/>
      <c r="K29" s="165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</row>
    <row r="30" spans="1:59">
      <c r="A30" s="139" t="s">
        <v>148</v>
      </c>
      <c r="B30" s="189">
        <f>0.05/0.044+$B$28</f>
        <v>1.4617471980074721</v>
      </c>
      <c r="C30" s="189">
        <f>1/B30</f>
        <v>0.68411282153515596</v>
      </c>
      <c r="D30" s="139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</row>
    <row r="31" spans="1:59">
      <c r="A31" s="139" t="s">
        <v>149</v>
      </c>
      <c r="B31" s="189">
        <f>0.075/0.044+$B$28</f>
        <v>2.02992901618929</v>
      </c>
      <c r="C31" s="189">
        <f>1/B31</f>
        <v>0.49262806335822651</v>
      </c>
      <c r="D31" s="139" t="s">
        <v>2</v>
      </c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</row>
    <row r="32" spans="1:59">
      <c r="A32" s="139" t="s">
        <v>150</v>
      </c>
      <c r="B32" s="189">
        <f>0.1/0.044+$B$28</f>
        <v>2.5981108343711083</v>
      </c>
      <c r="C32" s="189">
        <f>1/B32</f>
        <v>0.38489505019213599</v>
      </c>
      <c r="D32" s="139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</row>
    <row r="33" spans="1:59">
      <c r="A33" s="7"/>
      <c r="B33" s="64"/>
      <c r="C33" s="77" t="s">
        <v>82</v>
      </c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</row>
    <row r="34" spans="1:59">
      <c r="A34" s="6" t="s">
        <v>157</v>
      </c>
      <c r="B34" s="77" t="s">
        <v>158</v>
      </c>
      <c r="C34" s="77" t="s">
        <v>406</v>
      </c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</row>
    <row r="35" spans="1:59" ht="14.25">
      <c r="A35" s="7"/>
      <c r="B35" s="64"/>
      <c r="C35" s="154" t="s">
        <v>361</v>
      </c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</row>
    <row r="36" spans="1:59">
      <c r="A36" s="139" t="s">
        <v>153</v>
      </c>
      <c r="B36" s="188">
        <f>0.04/1.16+0.18/0.82+0.05+0.111</f>
        <v>0.41499495374264084</v>
      </c>
      <c r="C36" s="189">
        <f>1/B36</f>
        <v>2.4096678549497499</v>
      </c>
      <c r="D36" s="139" t="s">
        <v>63</v>
      </c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</row>
    <row r="37" spans="1:59">
      <c r="A37" s="139" t="s">
        <v>147</v>
      </c>
      <c r="B37" s="189">
        <f>0.025/0.044+$B$36</f>
        <v>0.98317677192445907</v>
      </c>
      <c r="C37" s="189">
        <f>1/B37</f>
        <v>1.017111091876806</v>
      </c>
      <c r="D37" s="139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</row>
    <row r="38" spans="1:59">
      <c r="A38" s="139" t="s">
        <v>148</v>
      </c>
      <c r="B38" s="189">
        <f>0.05/0.044+$B$36</f>
        <v>1.5513585901062772</v>
      </c>
      <c r="C38" s="189">
        <f>1/B38</f>
        <v>0.64459629538744756</v>
      </c>
      <c r="D38" s="139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</row>
    <row r="39" spans="1:59">
      <c r="A39" s="139" t="s">
        <v>149</v>
      </c>
      <c r="B39" s="189">
        <f>0.075/0.044+$B$36</f>
        <v>2.1195404082880955</v>
      </c>
      <c r="C39" s="189">
        <f>1/B39</f>
        <v>0.47180039412774261</v>
      </c>
      <c r="D39" s="139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  <c r="BG39" s="7"/>
    </row>
    <row r="40" spans="1:59">
      <c r="A40" s="139" t="s">
        <v>150</v>
      </c>
      <c r="B40" s="189">
        <f>0.1/0.044+$B$36</f>
        <v>2.6877222264699139</v>
      </c>
      <c r="C40" s="189">
        <f>1/B40</f>
        <v>0.37206225782989927</v>
      </c>
      <c r="D40" s="139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  <c r="BG40" s="7"/>
    </row>
    <row r="41" spans="1:59">
      <c r="A41" s="7"/>
      <c r="B41" s="64"/>
      <c r="C41" s="64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  <c r="BG41" s="7"/>
    </row>
    <row r="42" spans="1:59">
      <c r="A42" s="139" t="s">
        <v>151</v>
      </c>
      <c r="B42" s="188">
        <f>0.04/1.16+0.12/0.82+0.05+0.111</f>
        <v>0.34182422203532381</v>
      </c>
      <c r="C42" s="189">
        <f>1/B42</f>
        <v>2.9254802191772731</v>
      </c>
      <c r="D42" s="139" t="s">
        <v>63</v>
      </c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  <c r="BG42" s="7"/>
    </row>
    <row r="43" spans="1:59">
      <c r="A43" s="139" t="s">
        <v>147</v>
      </c>
      <c r="B43" s="189">
        <f>0.025/0.044+$B$42</f>
        <v>0.91000604021714204</v>
      </c>
      <c r="C43" s="189">
        <f>1/B43</f>
        <v>1.0988938048822006</v>
      </c>
      <c r="D43" s="139" t="s">
        <v>368</v>
      </c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  <c r="BG43" s="7"/>
    </row>
    <row r="44" spans="1:59">
      <c r="A44" s="139" t="s">
        <v>148</v>
      </c>
      <c r="B44" s="189">
        <f>0.05/0.044+$B$42</f>
        <v>1.4781878583989603</v>
      </c>
      <c r="C44" s="189">
        <f>1/B44</f>
        <v>0.67650400070469374</v>
      </c>
      <c r="D44" s="139" t="s">
        <v>369</v>
      </c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  <c r="BG44" s="7"/>
    </row>
    <row r="45" spans="1:59">
      <c r="A45" s="139" t="s">
        <v>149</v>
      </c>
      <c r="B45" s="189">
        <f>0.075/0.044+$B$42</f>
        <v>2.0463696765807784</v>
      </c>
      <c r="C45" s="189">
        <f>1/B45</f>
        <v>0.48867025906622691</v>
      </c>
      <c r="D45" s="139" t="s">
        <v>369</v>
      </c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  <c r="BG45" s="7"/>
    </row>
    <row r="46" spans="1:59">
      <c r="A46" s="139" t="s">
        <v>150</v>
      </c>
      <c r="B46" s="189">
        <f>0.1/0.044+$B$42</f>
        <v>2.6145514947625967</v>
      </c>
      <c r="C46" s="189">
        <f>1/B46</f>
        <v>0.38247477703276245</v>
      </c>
      <c r="D46" s="139" t="s">
        <v>369</v>
      </c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  <c r="BG46" s="7"/>
    </row>
    <row r="47" spans="1:59">
      <c r="A47" s="7"/>
      <c r="B47" s="64"/>
      <c r="C47" s="64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  <c r="BG47" s="7"/>
    </row>
    <row r="48" spans="1:59">
      <c r="A48" s="139" t="s">
        <v>152</v>
      </c>
      <c r="B48" s="188">
        <f>0.04/1.16+2*0.12/0.82+0.05+0.111</f>
        <v>0.48816568544995792</v>
      </c>
      <c r="C48" s="189">
        <f>1/B48</f>
        <v>2.0484848276016532</v>
      </c>
      <c r="D48" s="139" t="s">
        <v>64</v>
      </c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  <c r="BG48" s="7"/>
    </row>
    <row r="49" spans="1:59">
      <c r="A49" s="139" t="s">
        <v>147</v>
      </c>
      <c r="B49" s="189">
        <f>0.025/0.044+$B$48</f>
        <v>1.0563475036317762</v>
      </c>
      <c r="C49" s="189">
        <f>1/B49</f>
        <v>0.94665817504367589</v>
      </c>
      <c r="D49" s="283" t="s">
        <v>370</v>
      </c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  <c r="BG49" s="7"/>
    </row>
    <row r="50" spans="1:59">
      <c r="A50" s="139" t="s">
        <v>148</v>
      </c>
      <c r="B50" s="189">
        <f>0.05/0.044+$B$48</f>
        <v>1.6245293218135943</v>
      </c>
      <c r="C50" s="189">
        <f>1/B50</f>
        <v>0.61556291202156854</v>
      </c>
      <c r="D50" s="139" t="s">
        <v>369</v>
      </c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  <c r="BG50" s="7"/>
    </row>
    <row r="51" spans="1:59">
      <c r="A51" s="139" t="s">
        <v>149</v>
      </c>
      <c r="B51" s="189">
        <f>0.075/0.044+$B$48</f>
        <v>2.1927111399954127</v>
      </c>
      <c r="C51" s="189">
        <f>1/B51</f>
        <v>0.45605642337462293</v>
      </c>
      <c r="D51" s="139" t="s">
        <v>369</v>
      </c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  <c r="BG51" s="7"/>
    </row>
    <row r="52" spans="1:59">
      <c r="A52" s="139" t="s">
        <v>150</v>
      </c>
      <c r="B52" s="189">
        <f>0.1/0.044+$B$48</f>
        <v>2.760892958177231</v>
      </c>
      <c r="C52" s="189">
        <f>1/B52</f>
        <v>0.36220165546012689</v>
      </c>
      <c r="D52" s="139" t="s">
        <v>369</v>
      </c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  <c r="BG52" s="7"/>
    </row>
    <row r="53" spans="1:59">
      <c r="A53" s="7"/>
      <c r="B53" s="64"/>
      <c r="C53" s="64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  <c r="BG53" s="7"/>
    </row>
    <row r="54" spans="1:59">
      <c r="A54" s="139" t="s">
        <v>152</v>
      </c>
      <c r="B54" s="188">
        <f>0.04/1.16+2*0.12/0.82+0.05+0.111+0.16</f>
        <v>0.6481656854499579</v>
      </c>
      <c r="C54" s="189">
        <f>1/B54</f>
        <v>1.5428153980502655</v>
      </c>
      <c r="D54" s="139" t="s">
        <v>65</v>
      </c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  <c r="BG54" s="7"/>
    </row>
    <row r="55" spans="1:59">
      <c r="A55" s="139" t="s">
        <v>147</v>
      </c>
      <c r="B55" s="189">
        <f>0.025/0.044+$B$54</f>
        <v>1.2163475036317761</v>
      </c>
      <c r="C55" s="189">
        <f>1/B55</f>
        <v>0.82213347502600631</v>
      </c>
      <c r="D55" s="283" t="s">
        <v>370</v>
      </c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  <c r="BG55" s="7"/>
    </row>
    <row r="56" spans="1:59">
      <c r="A56" s="139" t="s">
        <v>148</v>
      </c>
      <c r="B56" s="189">
        <f>0.05/0.044+$B$54</f>
        <v>1.7845293218135945</v>
      </c>
      <c r="C56" s="189">
        <f>1/B56</f>
        <v>0.56037185143235013</v>
      </c>
      <c r="D56" s="139" t="s">
        <v>369</v>
      </c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  <c r="BG56" s="7"/>
    </row>
    <row r="57" spans="1:59">
      <c r="A57" s="139" t="s">
        <v>149</v>
      </c>
      <c r="B57" s="189">
        <f>0.075/0.044+$B$54</f>
        <v>2.3527111399954124</v>
      </c>
      <c r="C57" s="189">
        <f>1/B57</f>
        <v>0.42504155440091551</v>
      </c>
      <c r="D57" s="139" t="s">
        <v>369</v>
      </c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  <c r="BG57" s="7"/>
    </row>
    <row r="58" spans="1:59">
      <c r="A58" s="139" t="s">
        <v>150</v>
      </c>
      <c r="B58" s="189">
        <f>0.1/0.044+$B$54</f>
        <v>2.9208929581772307</v>
      </c>
      <c r="C58" s="189">
        <f>1/B58</f>
        <v>0.34236105681327167</v>
      </c>
      <c r="D58" s="139" t="s">
        <v>369</v>
      </c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</row>
    <row r="59" spans="1:59">
      <c r="A59" s="7"/>
      <c r="B59" s="64"/>
      <c r="C59" s="64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  <c r="AV59" s="7"/>
      <c r="AW59" s="7"/>
      <c r="AX59" s="7"/>
      <c r="AY59" s="7"/>
      <c r="AZ59" s="7"/>
      <c r="BA59" s="7"/>
      <c r="BB59" s="7"/>
      <c r="BC59" s="7"/>
      <c r="BD59" s="7"/>
      <c r="BE59" s="7"/>
      <c r="BF59" s="7"/>
      <c r="BG59" s="7"/>
    </row>
    <row r="60" spans="1:59">
      <c r="A60" s="139" t="s">
        <v>155</v>
      </c>
      <c r="B60" s="188">
        <f>0.02/1.16+0.17/0.82+0.05+0.111</f>
        <v>0.38555845248107656</v>
      </c>
      <c r="C60" s="189">
        <f>1/B60</f>
        <v>2.593640454683277</v>
      </c>
      <c r="D60" s="139" t="s">
        <v>66</v>
      </c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  <c r="AQ60" s="7"/>
      <c r="AR60" s="7"/>
      <c r="AS60" s="7"/>
      <c r="AT60" s="7"/>
      <c r="AU60" s="7"/>
      <c r="AV60" s="7"/>
      <c r="AW60" s="7"/>
      <c r="AX60" s="7"/>
      <c r="AY60" s="7"/>
      <c r="AZ60" s="7"/>
      <c r="BA60" s="7"/>
      <c r="BB60" s="7"/>
      <c r="BC60" s="7"/>
      <c r="BD60" s="7"/>
      <c r="BE60" s="7"/>
      <c r="BF60" s="7"/>
      <c r="BG60" s="7"/>
    </row>
    <row r="61" spans="1:59">
      <c r="A61" s="139" t="s">
        <v>147</v>
      </c>
      <c r="B61" s="189">
        <f>0.025/0.044+$B$60</f>
        <v>0.9537402706628948</v>
      </c>
      <c r="C61" s="189">
        <f>1/B61</f>
        <v>1.0485034875427379</v>
      </c>
      <c r="D61" s="139" t="s">
        <v>371</v>
      </c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7"/>
      <c r="AN61" s="7"/>
      <c r="AO61" s="7"/>
      <c r="AP61" s="7"/>
      <c r="AQ61" s="7"/>
      <c r="AR61" s="7"/>
      <c r="AS61" s="7"/>
      <c r="AT61" s="7"/>
      <c r="AU61" s="7"/>
      <c r="AV61" s="7"/>
      <c r="AW61" s="7"/>
      <c r="AX61" s="7"/>
      <c r="AY61" s="7"/>
      <c r="AZ61" s="7"/>
      <c r="BA61" s="7"/>
      <c r="BB61" s="7"/>
      <c r="BC61" s="7"/>
      <c r="BD61" s="7"/>
      <c r="BE61" s="7"/>
      <c r="BF61" s="7"/>
      <c r="BG61" s="7"/>
    </row>
    <row r="62" spans="1:59">
      <c r="A62" s="139" t="s">
        <v>148</v>
      </c>
      <c r="B62" s="189">
        <f>0.05/0.044+$B$60</f>
        <v>1.5219220888447129</v>
      </c>
      <c r="C62" s="189">
        <f>1/B62</f>
        <v>0.65706385847852267</v>
      </c>
      <c r="D62" s="139" t="s">
        <v>369</v>
      </c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7"/>
      <c r="AN62" s="7"/>
      <c r="AO62" s="7"/>
      <c r="AP62" s="7"/>
      <c r="AQ62" s="7"/>
      <c r="AR62" s="7"/>
      <c r="AS62" s="7"/>
      <c r="AT62" s="7"/>
      <c r="AU62" s="7"/>
      <c r="AV62" s="7"/>
      <c r="AW62" s="7"/>
      <c r="AX62" s="7"/>
      <c r="AY62" s="7"/>
      <c r="AZ62" s="7"/>
      <c r="BA62" s="7"/>
      <c r="BB62" s="7"/>
      <c r="BC62" s="7"/>
      <c r="BD62" s="7"/>
      <c r="BE62" s="7"/>
      <c r="BF62" s="7"/>
      <c r="BG62" s="7"/>
    </row>
    <row r="63" spans="1:59">
      <c r="A63" s="139" t="s">
        <v>149</v>
      </c>
      <c r="B63" s="189">
        <f>0.075/0.044+$B$60</f>
        <v>2.0901039070265313</v>
      </c>
      <c r="C63" s="189">
        <f>1/B63</f>
        <v>0.47844511301002329</v>
      </c>
      <c r="D63" s="139" t="s">
        <v>369</v>
      </c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7"/>
      <c r="AO63" s="7"/>
      <c r="AP63" s="7"/>
      <c r="AQ63" s="7"/>
      <c r="AR63" s="7"/>
      <c r="AS63" s="7"/>
      <c r="AT63" s="7"/>
      <c r="AU63" s="7"/>
      <c r="AV63" s="7"/>
      <c r="AW63" s="7"/>
      <c r="AX63" s="7"/>
      <c r="AY63" s="7"/>
      <c r="AZ63" s="7"/>
      <c r="BA63" s="7"/>
      <c r="BB63" s="7"/>
      <c r="BC63" s="7"/>
      <c r="BD63" s="7"/>
      <c r="BE63" s="7"/>
      <c r="BF63" s="7"/>
      <c r="BG63" s="7"/>
    </row>
    <row r="64" spans="1:59">
      <c r="A64" s="139" t="s">
        <v>150</v>
      </c>
      <c r="B64" s="189">
        <f>0.1/0.044+$B$60</f>
        <v>2.6582857252083496</v>
      </c>
      <c r="C64" s="189">
        <f>1/B64</f>
        <v>0.37618228564260997</v>
      </c>
      <c r="D64" s="139" t="s">
        <v>369</v>
      </c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  <c r="AR64" s="7"/>
      <c r="AS64" s="7"/>
      <c r="AT64" s="7"/>
      <c r="AU64" s="7"/>
      <c r="AV64" s="7"/>
      <c r="AW64" s="7"/>
      <c r="AX64" s="7"/>
      <c r="AY64" s="7"/>
      <c r="AZ64" s="7"/>
      <c r="BA64" s="7"/>
      <c r="BB64" s="7"/>
      <c r="BC64" s="7"/>
      <c r="BD64" s="7"/>
      <c r="BE64" s="7"/>
      <c r="BF64" s="7"/>
      <c r="BG64" s="7"/>
    </row>
    <row r="65" spans="1:59">
      <c r="A65" s="7"/>
      <c r="B65" s="64"/>
      <c r="C65" s="64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7"/>
      <c r="AN65" s="7"/>
      <c r="AO65" s="7"/>
      <c r="AP65" s="7"/>
      <c r="AQ65" s="7"/>
      <c r="AR65" s="7"/>
      <c r="AS65" s="7"/>
      <c r="AT65" s="7"/>
      <c r="AU65" s="7"/>
      <c r="AV65" s="7"/>
      <c r="AW65" s="7"/>
      <c r="AX65" s="7"/>
      <c r="AY65" s="7"/>
      <c r="AZ65" s="7"/>
      <c r="BA65" s="7"/>
      <c r="BB65" s="7"/>
      <c r="BC65" s="7"/>
      <c r="BD65" s="7"/>
      <c r="BE65" s="7"/>
      <c r="BF65" s="7"/>
      <c r="BG65" s="7"/>
    </row>
    <row r="66" spans="1:59">
      <c r="A66" s="139" t="s">
        <v>156</v>
      </c>
      <c r="B66" s="188">
        <f>0.04/1.16+0.12/0.82+0.05+0.111</f>
        <v>0.34182422203532381</v>
      </c>
      <c r="C66" s="189">
        <f>1/B66</f>
        <v>2.9254802191772731</v>
      </c>
      <c r="D66" s="139" t="s">
        <v>67</v>
      </c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/>
      <c r="AO66" s="7"/>
      <c r="AP66" s="7"/>
      <c r="AQ66" s="7"/>
      <c r="AR66" s="7"/>
      <c r="AS66" s="7"/>
      <c r="AT66" s="7"/>
      <c r="AU66" s="7"/>
      <c r="AV66" s="7"/>
      <c r="AW66" s="7"/>
      <c r="AX66" s="7"/>
      <c r="AY66" s="7"/>
      <c r="AZ66" s="7"/>
      <c r="BA66" s="7"/>
      <c r="BB66" s="7"/>
      <c r="BC66" s="7"/>
      <c r="BD66" s="7"/>
      <c r="BE66" s="7"/>
      <c r="BF66" s="7"/>
      <c r="BG66" s="7"/>
    </row>
    <row r="67" spans="1:59">
      <c r="A67" s="139" t="s">
        <v>147</v>
      </c>
      <c r="B67" s="189">
        <f>0.025/0.044+$B$66</f>
        <v>0.91000604021714204</v>
      </c>
      <c r="C67" s="189">
        <f>1/B67</f>
        <v>1.0988938048822006</v>
      </c>
      <c r="D67" s="139" t="s">
        <v>372</v>
      </c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  <c r="AM67" s="7"/>
      <c r="AN67" s="7"/>
      <c r="AO67" s="7"/>
      <c r="AP67" s="7"/>
      <c r="AQ67" s="7"/>
      <c r="AR67" s="7"/>
      <c r="AS67" s="7"/>
      <c r="AT67" s="7"/>
      <c r="AU67" s="7"/>
      <c r="AV67" s="7"/>
      <c r="AW67" s="7"/>
      <c r="AX67" s="7"/>
      <c r="AY67" s="7"/>
      <c r="AZ67" s="7"/>
      <c r="BA67" s="7"/>
      <c r="BB67" s="7"/>
      <c r="BC67" s="7"/>
      <c r="BD67" s="7"/>
      <c r="BE67" s="7"/>
      <c r="BF67" s="7"/>
      <c r="BG67" s="7"/>
    </row>
    <row r="68" spans="1:59">
      <c r="A68" s="139" t="s">
        <v>148</v>
      </c>
      <c r="B68" s="189">
        <f>0.05/0.044+$B$66</f>
        <v>1.4781878583989603</v>
      </c>
      <c r="C68" s="189">
        <f>1/B68</f>
        <v>0.67650400070469374</v>
      </c>
      <c r="D68" s="139" t="s">
        <v>369</v>
      </c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7"/>
      <c r="AN68" s="7"/>
      <c r="AO68" s="7"/>
      <c r="AP68" s="7"/>
      <c r="AQ68" s="7"/>
      <c r="AR68" s="7"/>
      <c r="AS68" s="7"/>
      <c r="AT68" s="7"/>
      <c r="AU68" s="7"/>
      <c r="AV68" s="7"/>
      <c r="AW68" s="7"/>
      <c r="AX68" s="7"/>
      <c r="AY68" s="7"/>
      <c r="AZ68" s="7"/>
      <c r="BA68" s="7"/>
      <c r="BB68" s="7"/>
      <c r="BC68" s="7"/>
      <c r="BD68" s="7"/>
      <c r="BE68" s="7"/>
      <c r="BF68" s="7"/>
      <c r="BG68" s="7"/>
    </row>
    <row r="69" spans="1:59">
      <c r="A69" s="139" t="s">
        <v>149</v>
      </c>
      <c r="B69" s="189">
        <f>0.075/0.044+$B$66</f>
        <v>2.0463696765807784</v>
      </c>
      <c r="C69" s="189">
        <f>1/B69</f>
        <v>0.48867025906622691</v>
      </c>
      <c r="D69" s="139" t="s">
        <v>369</v>
      </c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  <c r="AM69" s="7"/>
      <c r="AN69" s="7"/>
      <c r="AO69" s="7"/>
      <c r="AP69" s="7"/>
      <c r="AQ69" s="7"/>
      <c r="AR69" s="7"/>
      <c r="AS69" s="7"/>
      <c r="AT69" s="7"/>
      <c r="AU69" s="7"/>
      <c r="AV69" s="7"/>
      <c r="AW69" s="7"/>
      <c r="AX69" s="7"/>
      <c r="AY69" s="7"/>
      <c r="AZ69" s="7"/>
      <c r="BA69" s="7"/>
      <c r="BB69" s="7"/>
      <c r="BC69" s="7"/>
      <c r="BD69" s="7"/>
      <c r="BE69" s="7"/>
      <c r="BF69" s="7"/>
      <c r="BG69" s="7"/>
    </row>
    <row r="70" spans="1:59">
      <c r="A70" s="139" t="s">
        <v>150</v>
      </c>
      <c r="B70" s="189">
        <f>0.1/0.044+$B$66</f>
        <v>2.6145514947625967</v>
      </c>
      <c r="C70" s="189">
        <f>1/B70</f>
        <v>0.38247477703276245</v>
      </c>
      <c r="D70" s="139" t="s">
        <v>369</v>
      </c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7"/>
      <c r="AN70" s="7"/>
      <c r="AO70" s="7"/>
      <c r="AP70" s="7"/>
      <c r="AQ70" s="7"/>
      <c r="AR70" s="7"/>
      <c r="AS70" s="7"/>
      <c r="AT70" s="7"/>
      <c r="AU70" s="7"/>
      <c r="AV70" s="7"/>
      <c r="AW70" s="7"/>
      <c r="AX70" s="7"/>
      <c r="AY70" s="7"/>
      <c r="AZ70" s="7"/>
      <c r="BA70" s="7"/>
      <c r="BB70" s="7"/>
      <c r="BC70" s="7"/>
      <c r="BD70" s="7"/>
      <c r="BE70" s="7"/>
      <c r="BF70" s="7"/>
      <c r="BG70" s="7"/>
    </row>
    <row r="71" spans="1:59">
      <c r="A71" s="7"/>
      <c r="B71" s="64"/>
      <c r="C71" s="64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7"/>
      <c r="AN71" s="7"/>
      <c r="AO71" s="7"/>
      <c r="AP71" s="7"/>
      <c r="AQ71" s="7"/>
      <c r="AR71" s="7"/>
      <c r="AS71" s="7"/>
      <c r="AT71" s="7"/>
      <c r="AU71" s="7"/>
      <c r="AV71" s="7"/>
      <c r="AW71" s="7"/>
      <c r="AX71" s="7"/>
      <c r="AY71" s="7"/>
      <c r="AZ71" s="7"/>
      <c r="BA71" s="7"/>
      <c r="BB71" s="7"/>
      <c r="BC71" s="7"/>
      <c r="BD71" s="7"/>
      <c r="BE71" s="7"/>
      <c r="BF71" s="7"/>
      <c r="BG71" s="7"/>
    </row>
    <row r="72" spans="1:59">
      <c r="A72" s="139" t="s">
        <v>373</v>
      </c>
      <c r="B72" s="188">
        <f>0.02/1.16+0.12/0.82+0.05+0.111+0.169</f>
        <v>0.49358284272497899</v>
      </c>
      <c r="C72" s="189">
        <f>1/B72</f>
        <v>2.0260023514577332</v>
      </c>
      <c r="D72" s="139" t="s">
        <v>374</v>
      </c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/>
      <c r="AO72" s="7"/>
      <c r="AP72" s="7"/>
      <c r="AQ72" s="7"/>
      <c r="AR72" s="7"/>
      <c r="AS72" s="7"/>
      <c r="AT72" s="7"/>
      <c r="AU72" s="7"/>
      <c r="AV72" s="7"/>
      <c r="AW72" s="7"/>
      <c r="AX72" s="7"/>
      <c r="AY72" s="7"/>
      <c r="AZ72" s="7"/>
      <c r="BA72" s="7"/>
      <c r="BB72" s="7"/>
      <c r="BC72" s="7"/>
      <c r="BD72" s="7"/>
      <c r="BE72" s="7"/>
      <c r="BF72" s="7"/>
      <c r="BG72" s="7"/>
    </row>
    <row r="73" spans="1:59">
      <c r="A73" s="139" t="s">
        <v>147</v>
      </c>
      <c r="B73" s="189">
        <f>0.025/0.044+$B$72</f>
        <v>1.0617646609067972</v>
      </c>
      <c r="C73" s="189">
        <f>1/B73</f>
        <v>0.94182829474278484</v>
      </c>
      <c r="D73" s="139" t="s">
        <v>375</v>
      </c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7"/>
      <c r="AN73" s="7"/>
      <c r="AO73" s="7"/>
      <c r="AP73" s="7"/>
      <c r="AQ73" s="7"/>
      <c r="AR73" s="7"/>
      <c r="AS73" s="7"/>
      <c r="AT73" s="7"/>
      <c r="AU73" s="7"/>
      <c r="AV73" s="7"/>
      <c r="AW73" s="7"/>
      <c r="AX73" s="7"/>
      <c r="AY73" s="7"/>
      <c r="AZ73" s="7"/>
      <c r="BA73" s="7"/>
      <c r="BB73" s="7"/>
      <c r="BC73" s="7"/>
      <c r="BD73" s="7"/>
      <c r="BE73" s="7"/>
      <c r="BF73" s="7"/>
      <c r="BG73" s="7"/>
    </row>
    <row r="74" spans="1:59">
      <c r="A74" s="139" t="s">
        <v>148</v>
      </c>
      <c r="B74" s="189">
        <f>0.05/0.044+$B$72</f>
        <v>1.6299464790886153</v>
      </c>
      <c r="C74" s="189">
        <f>1/B74</f>
        <v>0.61351707729639693</v>
      </c>
      <c r="D74" s="139" t="s">
        <v>369</v>
      </c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7"/>
      <c r="AN74" s="7"/>
      <c r="AO74" s="7"/>
      <c r="AP74" s="7"/>
      <c r="AQ74" s="7"/>
      <c r="AR74" s="7"/>
      <c r="AS74" s="7"/>
      <c r="AT74" s="7"/>
      <c r="AU74" s="7"/>
      <c r="AV74" s="7"/>
      <c r="AW74" s="7"/>
      <c r="AX74" s="7"/>
      <c r="AY74" s="7"/>
      <c r="AZ74" s="7"/>
      <c r="BA74" s="7"/>
      <c r="BB74" s="7"/>
      <c r="BC74" s="7"/>
      <c r="BD74" s="7"/>
      <c r="BE74" s="7"/>
      <c r="BF74" s="7"/>
      <c r="BG74" s="7"/>
    </row>
    <row r="75" spans="1:59">
      <c r="A75" s="139" t="s">
        <v>149</v>
      </c>
      <c r="B75" s="189">
        <f>0.075/0.044+$B$72</f>
        <v>2.1981282972704337</v>
      </c>
      <c r="C75" s="189">
        <f>1/B75</f>
        <v>0.45493249927302626</v>
      </c>
      <c r="D75" s="139" t="s">
        <v>369</v>
      </c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/>
      <c r="AO75" s="7"/>
      <c r="AP75" s="7"/>
      <c r="AQ75" s="7"/>
      <c r="AR75" s="7"/>
      <c r="AS75" s="7"/>
      <c r="AT75" s="7"/>
      <c r="AU75" s="7"/>
      <c r="AV75" s="7"/>
      <c r="AW75" s="7"/>
      <c r="AX75" s="7"/>
      <c r="AY75" s="7"/>
      <c r="AZ75" s="7"/>
      <c r="BA75" s="7"/>
      <c r="BB75" s="7"/>
      <c r="BC75" s="7"/>
      <c r="BD75" s="7"/>
      <c r="BE75" s="7"/>
      <c r="BF75" s="7"/>
      <c r="BG75" s="7"/>
    </row>
    <row r="76" spans="1:59">
      <c r="A76" s="139" t="s">
        <v>150</v>
      </c>
      <c r="B76" s="189">
        <f>0.1/0.044+$B$72</f>
        <v>2.766310115452252</v>
      </c>
      <c r="C76" s="189">
        <f>1/B76</f>
        <v>0.36149237007598273</v>
      </c>
      <c r="D76" s="139" t="s">
        <v>369</v>
      </c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7"/>
      <c r="AN76" s="7"/>
      <c r="AO76" s="7"/>
      <c r="AP76" s="7"/>
      <c r="AQ76" s="7"/>
      <c r="AR76" s="7"/>
      <c r="AS76" s="7"/>
      <c r="AT76" s="7"/>
      <c r="AU76" s="7"/>
      <c r="AV76" s="7"/>
      <c r="AW76" s="7"/>
      <c r="AX76" s="7"/>
      <c r="AY76" s="7"/>
      <c r="AZ76" s="7"/>
      <c r="BA76" s="7"/>
      <c r="BB76" s="7"/>
      <c r="BC76" s="7"/>
      <c r="BD76" s="7"/>
      <c r="BE76" s="7"/>
      <c r="BF76" s="7"/>
      <c r="BG76" s="7"/>
    </row>
    <row r="77" spans="1:59">
      <c r="A77" s="7"/>
      <c r="B77" s="37"/>
      <c r="C77" s="64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7"/>
      <c r="AN77" s="7"/>
      <c r="AO77" s="7"/>
      <c r="AP77" s="7"/>
      <c r="AQ77" s="7"/>
      <c r="AR77" s="7"/>
      <c r="AS77" s="7"/>
      <c r="AT77" s="7"/>
      <c r="AU77" s="7"/>
      <c r="AV77" s="7"/>
      <c r="AW77" s="7"/>
      <c r="AX77" s="7"/>
      <c r="AY77" s="7"/>
      <c r="AZ77" s="7"/>
      <c r="BA77" s="7"/>
      <c r="BB77" s="7"/>
      <c r="BC77" s="7"/>
      <c r="BD77" s="7"/>
      <c r="BE77" s="7"/>
      <c r="BF77" s="7"/>
      <c r="BG77" s="7"/>
    </row>
    <row r="78" spans="1:59">
      <c r="A78" s="8" t="s">
        <v>415</v>
      </c>
      <c r="B78" s="256"/>
      <c r="C78" s="25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  <c r="AM78" s="7"/>
      <c r="AN78" s="7"/>
      <c r="AO78" s="7"/>
      <c r="AP78" s="7"/>
      <c r="AQ78" s="7"/>
      <c r="AR78" s="7"/>
      <c r="AS78" s="7"/>
      <c r="AT78" s="7"/>
      <c r="AU78" s="7"/>
      <c r="AV78" s="7"/>
      <c r="AW78" s="7"/>
      <c r="AX78" s="7"/>
      <c r="AY78" s="7"/>
      <c r="AZ78" s="7"/>
      <c r="BA78" s="7"/>
      <c r="BB78" s="7"/>
      <c r="BC78" s="7"/>
      <c r="BD78" s="7"/>
      <c r="BE78" s="7"/>
      <c r="BF78" s="7"/>
      <c r="BG78" s="7"/>
    </row>
    <row r="79" spans="1:59">
      <c r="A79" s="11"/>
      <c r="B79" s="35"/>
      <c r="C79" s="258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  <c r="AL79" s="7"/>
      <c r="AM79" s="7"/>
      <c r="AN79" s="7"/>
      <c r="AO79" s="7"/>
      <c r="AP79" s="7"/>
      <c r="AQ79" s="7"/>
      <c r="AR79" s="7"/>
      <c r="AS79" s="7"/>
      <c r="AT79" s="7"/>
      <c r="AU79" s="7"/>
      <c r="AV79" s="7"/>
      <c r="AW79" s="7"/>
      <c r="AX79" s="7"/>
      <c r="AY79" s="7"/>
      <c r="AZ79" s="7"/>
      <c r="BA79" s="7"/>
      <c r="BB79" s="7"/>
      <c r="BC79" s="7"/>
      <c r="BD79" s="7"/>
      <c r="BE79" s="7"/>
      <c r="BF79" s="7"/>
      <c r="BG79" s="7"/>
    </row>
    <row r="80" spans="1:59">
      <c r="A80" s="16" t="s">
        <v>407</v>
      </c>
      <c r="B80" s="17"/>
      <c r="C80" s="19"/>
      <c r="D80" s="7"/>
      <c r="E80" s="44"/>
      <c r="F80" s="44"/>
      <c r="G80" s="44"/>
      <c r="H80" s="44"/>
      <c r="I80" s="44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  <c r="AM80" s="7"/>
      <c r="AN80" s="7"/>
      <c r="AO80" s="7"/>
      <c r="AP80" s="7"/>
      <c r="AQ80" s="7"/>
      <c r="AR80" s="7"/>
      <c r="AS80" s="7"/>
      <c r="AT80" s="7"/>
      <c r="AU80" s="7"/>
      <c r="AV80" s="7"/>
      <c r="AW80" s="7"/>
      <c r="AX80" s="7"/>
      <c r="AY80" s="7"/>
      <c r="AZ80" s="7"/>
      <c r="BA80" s="7"/>
      <c r="BB80" s="7"/>
      <c r="BC80" s="7"/>
      <c r="BD80" s="7"/>
      <c r="BE80" s="7"/>
      <c r="BF80" s="7"/>
      <c r="BG80" s="7"/>
    </row>
    <row r="81" spans="1:59">
      <c r="A81" s="11" t="s">
        <v>129</v>
      </c>
      <c r="B81" s="17"/>
      <c r="C81" s="19"/>
      <c r="D81" s="7"/>
      <c r="E81" s="44"/>
      <c r="F81" s="44"/>
      <c r="G81" s="44"/>
      <c r="H81" s="44"/>
      <c r="I81" s="44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  <c r="AM81" s="7"/>
      <c r="AN81" s="7"/>
      <c r="AO81" s="7"/>
      <c r="AP81" s="7"/>
      <c r="AQ81" s="7"/>
      <c r="AR81" s="7"/>
      <c r="AS81" s="7"/>
      <c r="AT81" s="7"/>
      <c r="AU81" s="7"/>
      <c r="AV81" s="7"/>
      <c r="AW81" s="7"/>
      <c r="AX81" s="7"/>
      <c r="AY81" s="7"/>
      <c r="AZ81" s="7"/>
      <c r="BA81" s="7"/>
      <c r="BB81" s="7"/>
      <c r="BC81" s="7"/>
      <c r="BD81" s="7"/>
      <c r="BE81" s="7"/>
      <c r="BF81" s="7"/>
      <c r="BG81" s="7"/>
    </row>
    <row r="82" spans="1:59">
      <c r="A82" s="14"/>
      <c r="B82" s="25"/>
      <c r="C82" s="15"/>
      <c r="D82" s="165"/>
      <c r="E82" s="17"/>
      <c r="F82" s="17"/>
      <c r="G82" s="17"/>
      <c r="H82" s="17"/>
      <c r="I82" s="1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7"/>
      <c r="AN82" s="7"/>
      <c r="AO82" s="7"/>
      <c r="AP82" s="7"/>
      <c r="AQ82" s="7"/>
      <c r="AR82" s="7"/>
      <c r="AS82" s="7"/>
      <c r="AT82" s="7"/>
      <c r="AU82" s="7"/>
      <c r="AV82" s="7"/>
      <c r="AW82" s="7"/>
      <c r="AX82" s="7"/>
      <c r="AY82" s="7"/>
      <c r="AZ82" s="7"/>
      <c r="BA82" s="7"/>
      <c r="BB82" s="7"/>
      <c r="BC82" s="7"/>
      <c r="BD82" s="7"/>
      <c r="BE82" s="7"/>
      <c r="BF82" s="7"/>
      <c r="BG82" s="7"/>
    </row>
    <row r="83" spans="1:59">
      <c r="A83" s="56" t="s">
        <v>130</v>
      </c>
      <c r="B83" s="208" t="s">
        <v>131</v>
      </c>
      <c r="C83" s="133" t="s">
        <v>411</v>
      </c>
      <c r="D83" s="44"/>
      <c r="E83" s="17"/>
      <c r="F83" s="17"/>
      <c r="G83" s="17"/>
      <c r="H83" s="17"/>
      <c r="I83" s="1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7"/>
      <c r="AL83" s="7"/>
      <c r="AM83" s="7"/>
      <c r="AN83" s="7"/>
      <c r="AO83" s="7"/>
      <c r="AP83" s="7"/>
      <c r="AQ83" s="7"/>
      <c r="AR83" s="7"/>
      <c r="AS83" s="7"/>
      <c r="AT83" s="7"/>
      <c r="AU83" s="7"/>
      <c r="AV83" s="7"/>
      <c r="AW83" s="7"/>
      <c r="AX83" s="7"/>
      <c r="AY83" s="7"/>
      <c r="AZ83" s="7"/>
      <c r="BA83" s="7"/>
      <c r="BB83" s="7"/>
      <c r="BC83" s="7"/>
      <c r="BD83" s="7"/>
      <c r="BE83" s="7"/>
      <c r="BF83" s="7"/>
      <c r="BG83" s="7"/>
    </row>
    <row r="84" spans="1:59">
      <c r="A84" s="32"/>
      <c r="B84" s="209" t="s">
        <v>132</v>
      </c>
      <c r="C84" s="261" t="s">
        <v>419</v>
      </c>
      <c r="D84" s="44"/>
      <c r="E84" s="17"/>
      <c r="F84" s="17"/>
      <c r="G84" s="17"/>
      <c r="H84" s="17"/>
      <c r="I84" s="1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7"/>
      <c r="AN84" s="7"/>
      <c r="AO84" s="7"/>
      <c r="AP84" s="7"/>
      <c r="AQ84" s="7"/>
      <c r="AR84" s="7"/>
      <c r="AS84" s="7"/>
      <c r="AT84" s="7"/>
      <c r="AU84" s="7"/>
      <c r="AV84" s="7"/>
      <c r="AW84" s="7"/>
      <c r="AX84" s="7"/>
      <c r="AY84" s="7"/>
      <c r="AZ84" s="7"/>
      <c r="BA84" s="7"/>
      <c r="BB84" s="7"/>
      <c r="BC84" s="7"/>
      <c r="BD84" s="7"/>
      <c r="BE84" s="7"/>
      <c r="BF84" s="7"/>
      <c r="BG84" s="7"/>
    </row>
    <row r="85" spans="1:59">
      <c r="A85" s="210" t="s">
        <v>376</v>
      </c>
      <c r="B85" s="139">
        <v>20</v>
      </c>
      <c r="C85" s="139">
        <v>5</v>
      </c>
      <c r="D85" s="17"/>
      <c r="E85" s="17"/>
      <c r="F85" s="17"/>
      <c r="G85" s="17"/>
      <c r="H85" s="17"/>
      <c r="I85" s="1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  <c r="AM85" s="7"/>
      <c r="AN85" s="7"/>
      <c r="AO85" s="7"/>
      <c r="AP85" s="7"/>
      <c r="AQ85" s="7"/>
      <c r="AR85" s="7"/>
      <c r="AS85" s="7"/>
      <c r="AT85" s="7"/>
      <c r="AU85" s="7"/>
      <c r="AV85" s="7"/>
      <c r="AW85" s="7"/>
      <c r="AX85" s="7"/>
      <c r="AY85" s="7"/>
      <c r="AZ85" s="7"/>
      <c r="BA85" s="7"/>
      <c r="BB85" s="7"/>
      <c r="BC85" s="7"/>
      <c r="BD85" s="7"/>
      <c r="BE85" s="7"/>
      <c r="BF85" s="7"/>
      <c r="BG85" s="7"/>
    </row>
    <row r="86" spans="1:59">
      <c r="A86" s="210" t="s">
        <v>377</v>
      </c>
      <c r="B86" s="139">
        <v>20</v>
      </c>
      <c r="C86" s="139">
        <v>4</v>
      </c>
      <c r="D86" s="17"/>
      <c r="E86" s="17"/>
      <c r="F86" s="17"/>
      <c r="G86" s="17"/>
      <c r="H86" s="17"/>
      <c r="I86" s="1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7"/>
      <c r="AL86" s="7"/>
      <c r="AM86" s="7"/>
      <c r="AN86" s="7"/>
      <c r="AO86" s="7"/>
      <c r="AP86" s="7"/>
      <c r="AQ86" s="7"/>
      <c r="AR86" s="7"/>
      <c r="AS86" s="7"/>
      <c r="AT86" s="7"/>
      <c r="AU86" s="7"/>
      <c r="AV86" s="7"/>
      <c r="AW86" s="7"/>
      <c r="AX86" s="7"/>
      <c r="AY86" s="7"/>
      <c r="AZ86" s="7"/>
      <c r="BA86" s="7"/>
      <c r="BB86" s="7"/>
      <c r="BC86" s="7"/>
      <c r="BD86" s="7"/>
      <c r="BE86" s="7"/>
      <c r="BF86" s="7"/>
      <c r="BG86" s="7"/>
    </row>
    <row r="87" spans="1:59">
      <c r="A87" s="210" t="s">
        <v>378</v>
      </c>
      <c r="B87" s="139">
        <v>20</v>
      </c>
      <c r="C87" s="139">
        <v>3.7</v>
      </c>
      <c r="D87" s="17"/>
      <c r="E87" s="17"/>
      <c r="F87" s="17"/>
      <c r="G87" s="17"/>
      <c r="H87" s="17"/>
      <c r="I87" s="1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7"/>
      <c r="AL87" s="7"/>
      <c r="AM87" s="7"/>
      <c r="AN87" s="7"/>
      <c r="AO87" s="7"/>
      <c r="AP87" s="7"/>
      <c r="AQ87" s="7"/>
      <c r="AR87" s="7"/>
      <c r="AS87" s="7"/>
      <c r="AT87" s="7"/>
      <c r="AU87" s="7"/>
      <c r="AV87" s="7"/>
      <c r="AW87" s="7"/>
      <c r="AX87" s="7"/>
      <c r="AY87" s="7"/>
      <c r="AZ87" s="7"/>
      <c r="BA87" s="7"/>
      <c r="BB87" s="7"/>
      <c r="BC87" s="7"/>
      <c r="BD87" s="7"/>
      <c r="BE87" s="7"/>
      <c r="BF87" s="7"/>
      <c r="BG87" s="7"/>
    </row>
    <row r="88" spans="1:59">
      <c r="A88" s="210" t="s">
        <v>379</v>
      </c>
      <c r="B88" s="139">
        <v>20</v>
      </c>
      <c r="C88" s="139">
        <v>3.1</v>
      </c>
      <c r="D88" s="17"/>
      <c r="E88" s="17"/>
      <c r="F88" s="17"/>
      <c r="G88" s="17"/>
      <c r="H88" s="17"/>
      <c r="I88" s="1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7"/>
      <c r="AK88" s="7"/>
      <c r="AL88" s="7"/>
      <c r="AM88" s="7"/>
      <c r="AN88" s="7"/>
      <c r="AO88" s="7"/>
      <c r="AP88" s="7"/>
      <c r="AQ88" s="7"/>
      <c r="AR88" s="7"/>
      <c r="AS88" s="7"/>
      <c r="AT88" s="7"/>
      <c r="AU88" s="7"/>
      <c r="AV88" s="7"/>
      <c r="AW88" s="7"/>
      <c r="AX88" s="7"/>
      <c r="AY88" s="7"/>
      <c r="AZ88" s="7"/>
      <c r="BA88" s="7"/>
      <c r="BB88" s="7"/>
      <c r="BC88" s="7"/>
      <c r="BD88" s="7"/>
      <c r="BE88" s="7"/>
      <c r="BF88" s="7"/>
      <c r="BG88" s="7"/>
    </row>
    <row r="89" spans="1:59">
      <c r="A89" s="255"/>
      <c r="B89" s="17"/>
      <c r="C89" s="17"/>
      <c r="D89" s="17"/>
      <c r="E89" s="17"/>
      <c r="F89" s="17"/>
      <c r="G89" s="17"/>
      <c r="H89" s="17"/>
      <c r="I89" s="1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7"/>
      <c r="AN89" s="7"/>
      <c r="AO89" s="7"/>
      <c r="AP89" s="7"/>
      <c r="AQ89" s="7"/>
      <c r="AR89" s="7"/>
      <c r="AS89" s="7"/>
      <c r="AT89" s="7"/>
      <c r="AU89" s="7"/>
      <c r="AV89" s="7"/>
      <c r="AW89" s="7"/>
      <c r="AX89" s="7"/>
      <c r="AY89" s="7"/>
      <c r="AZ89" s="7"/>
      <c r="BA89" s="7"/>
      <c r="BB89" s="7"/>
      <c r="BC89" s="7"/>
      <c r="BD89" s="7"/>
      <c r="BE89" s="7"/>
      <c r="BF89" s="7"/>
      <c r="BG89" s="7"/>
    </row>
    <row r="90" spans="1:59">
      <c r="A90" s="210" t="s">
        <v>133</v>
      </c>
      <c r="B90" s="139">
        <v>20</v>
      </c>
      <c r="C90" s="139">
        <v>6.4</v>
      </c>
      <c r="D90" s="1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  <c r="AI90" s="7"/>
      <c r="AJ90" s="7"/>
      <c r="AK90" s="7"/>
      <c r="AL90" s="7"/>
      <c r="AM90" s="7"/>
      <c r="AN90" s="7"/>
      <c r="AO90" s="7"/>
      <c r="AP90" s="7"/>
      <c r="AQ90" s="7"/>
      <c r="AR90" s="7"/>
      <c r="AS90" s="7"/>
      <c r="AT90" s="7"/>
      <c r="AU90" s="7"/>
      <c r="AV90" s="7"/>
      <c r="AW90" s="7"/>
      <c r="AX90" s="7"/>
      <c r="AY90" s="7"/>
      <c r="AZ90" s="7"/>
      <c r="BA90" s="7"/>
      <c r="BB90" s="7"/>
      <c r="BC90" s="7"/>
      <c r="BD90" s="7"/>
      <c r="BE90" s="7"/>
      <c r="BF90" s="7"/>
      <c r="BG90" s="7"/>
    </row>
    <row r="91" spans="1:59">
      <c r="A91" s="210" t="s">
        <v>380</v>
      </c>
      <c r="B91" s="139">
        <v>20</v>
      </c>
      <c r="C91" s="139">
        <v>4.8</v>
      </c>
      <c r="D91" s="1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  <c r="AF91" s="7"/>
      <c r="AG91" s="7"/>
      <c r="AH91" s="7"/>
      <c r="AI91" s="7"/>
      <c r="AJ91" s="7"/>
      <c r="AK91" s="7"/>
      <c r="AL91" s="7"/>
      <c r="AM91" s="7"/>
      <c r="AN91" s="7"/>
      <c r="AO91" s="7"/>
      <c r="AP91" s="7"/>
      <c r="AQ91" s="7"/>
      <c r="AR91" s="7"/>
      <c r="AS91" s="7"/>
      <c r="AT91" s="7"/>
      <c r="AU91" s="7"/>
      <c r="AV91" s="7"/>
      <c r="AW91" s="7"/>
      <c r="AX91" s="7"/>
      <c r="AY91" s="7"/>
      <c r="AZ91" s="7"/>
      <c r="BA91" s="7"/>
      <c r="BB91" s="7"/>
      <c r="BC91" s="7"/>
      <c r="BD91" s="7"/>
      <c r="BE91" s="7"/>
      <c r="BF91" s="7"/>
      <c r="BG91" s="7"/>
    </row>
    <row r="92" spans="1:59">
      <c r="A92" s="210" t="s">
        <v>381</v>
      </c>
      <c r="B92" s="188">
        <v>20</v>
      </c>
      <c r="C92" s="189">
        <v>4.4000000000000004</v>
      </c>
      <c r="D92" s="1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  <c r="AF92" s="7"/>
      <c r="AG92" s="7"/>
      <c r="AH92" s="7"/>
      <c r="AI92" s="7"/>
      <c r="AJ92" s="7"/>
      <c r="AK92" s="7"/>
      <c r="AL92" s="7"/>
      <c r="AM92" s="7"/>
      <c r="AN92" s="7"/>
      <c r="AO92" s="7"/>
      <c r="AP92" s="7"/>
      <c r="AQ92" s="7"/>
      <c r="AR92" s="7"/>
      <c r="AS92" s="7"/>
      <c r="AT92" s="7"/>
      <c r="AU92" s="7"/>
      <c r="AV92" s="7"/>
      <c r="AW92" s="7"/>
      <c r="AX92" s="7"/>
      <c r="AY92" s="7"/>
      <c r="AZ92" s="7"/>
      <c r="BA92" s="7"/>
      <c r="BB92" s="7"/>
      <c r="BC92" s="7"/>
      <c r="BD92" s="7"/>
      <c r="BE92" s="7"/>
      <c r="BF92" s="7"/>
      <c r="BG92" s="7"/>
    </row>
    <row r="93" spans="1:59">
      <c r="A93" s="210" t="s">
        <v>382</v>
      </c>
      <c r="B93" s="188"/>
      <c r="C93" s="189">
        <v>3.6</v>
      </c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  <c r="AF93" s="7"/>
      <c r="AG93" s="7"/>
      <c r="AH93" s="7"/>
      <c r="AI93" s="7"/>
      <c r="AJ93" s="7"/>
      <c r="AK93" s="7"/>
      <c r="AL93" s="7"/>
      <c r="AM93" s="7"/>
      <c r="AN93" s="7"/>
      <c r="AO93" s="7"/>
      <c r="AP93" s="7"/>
      <c r="AQ93" s="7"/>
      <c r="AR93" s="7"/>
      <c r="AS93" s="7"/>
      <c r="AT93" s="7"/>
      <c r="AU93" s="7"/>
      <c r="AV93" s="7"/>
      <c r="AW93" s="7"/>
      <c r="AX93" s="7"/>
      <c r="AY93" s="7"/>
      <c r="AZ93" s="7"/>
      <c r="BA93" s="7"/>
      <c r="BB93" s="7"/>
      <c r="BC93" s="7"/>
      <c r="BD93" s="7"/>
      <c r="BE93" s="7"/>
      <c r="BF93" s="7"/>
      <c r="BG93" s="7"/>
    </row>
    <row r="94" spans="1:59">
      <c r="A94" s="249"/>
      <c r="B94" s="37"/>
      <c r="C94" s="64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7"/>
      <c r="AI94" s="7"/>
      <c r="AJ94" s="7"/>
      <c r="AK94" s="7"/>
      <c r="AL94" s="7"/>
      <c r="AM94" s="7"/>
      <c r="AN94" s="7"/>
      <c r="AO94" s="7"/>
      <c r="AP94" s="7"/>
      <c r="AQ94" s="7"/>
      <c r="AR94" s="7"/>
      <c r="AS94" s="7"/>
      <c r="AT94" s="7"/>
      <c r="AU94" s="7"/>
      <c r="AV94" s="7"/>
      <c r="AW94" s="7"/>
      <c r="AX94" s="7"/>
      <c r="AY94" s="7"/>
      <c r="AZ94" s="7"/>
      <c r="BA94" s="7"/>
      <c r="BB94" s="7"/>
      <c r="BC94" s="7"/>
      <c r="BD94" s="7"/>
      <c r="BE94" s="7"/>
      <c r="BF94" s="7"/>
      <c r="BG94" s="7"/>
    </row>
    <row r="95" spans="1:59">
      <c r="A95" s="210" t="s">
        <v>134</v>
      </c>
      <c r="B95" s="188">
        <v>20</v>
      </c>
      <c r="C95" s="189">
        <v>6</v>
      </c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  <c r="AF95" s="7"/>
      <c r="AG95" s="7"/>
      <c r="AH95" s="7"/>
      <c r="AI95" s="7"/>
      <c r="AJ95" s="7"/>
      <c r="AK95" s="7"/>
      <c r="AL95" s="7"/>
      <c r="AM95" s="7"/>
      <c r="AN95" s="7"/>
      <c r="AO95" s="7"/>
      <c r="AP95" s="7"/>
      <c r="AQ95" s="7"/>
      <c r="AR95" s="7"/>
      <c r="AS95" s="7"/>
      <c r="AT95" s="7"/>
      <c r="AU95" s="7"/>
      <c r="AV95" s="7"/>
      <c r="AW95" s="7"/>
      <c r="AX95" s="7"/>
      <c r="AY95" s="7"/>
      <c r="AZ95" s="7"/>
      <c r="BA95" s="7"/>
      <c r="BB95" s="7"/>
      <c r="BC95" s="7"/>
      <c r="BD95" s="7"/>
      <c r="BE95" s="7"/>
      <c r="BF95" s="7"/>
      <c r="BG95" s="7"/>
    </row>
    <row r="96" spans="1:59">
      <c r="A96" s="210" t="s">
        <v>383</v>
      </c>
      <c r="B96" s="188">
        <v>20</v>
      </c>
      <c r="C96" s="189">
        <v>4.5</v>
      </c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  <c r="AF96" s="7"/>
      <c r="AG96" s="7"/>
      <c r="AH96" s="7"/>
      <c r="AI96" s="7"/>
      <c r="AJ96" s="7"/>
      <c r="AK96" s="7"/>
      <c r="AL96" s="7"/>
      <c r="AM96" s="7"/>
      <c r="AN96" s="7"/>
      <c r="AO96" s="7"/>
      <c r="AP96" s="7"/>
      <c r="AQ96" s="7"/>
      <c r="AR96" s="7"/>
      <c r="AS96" s="7"/>
      <c r="AT96" s="7"/>
      <c r="AU96" s="7"/>
      <c r="AV96" s="7"/>
      <c r="AW96" s="7"/>
      <c r="AX96" s="7"/>
      <c r="AY96" s="7"/>
      <c r="AZ96" s="7"/>
      <c r="BA96" s="7"/>
      <c r="BB96" s="7"/>
      <c r="BC96" s="7"/>
      <c r="BD96" s="7"/>
      <c r="BE96" s="7"/>
      <c r="BF96" s="7"/>
      <c r="BG96" s="7"/>
    </row>
    <row r="97" spans="1:59">
      <c r="A97" s="210" t="s">
        <v>384</v>
      </c>
      <c r="B97" s="188">
        <v>20</v>
      </c>
      <c r="C97" s="189">
        <v>4.0999999999999996</v>
      </c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  <c r="AM97" s="7"/>
      <c r="AN97" s="7"/>
      <c r="AO97" s="7"/>
      <c r="AP97" s="7"/>
      <c r="AQ97" s="7"/>
      <c r="AR97" s="7"/>
      <c r="AS97" s="7"/>
      <c r="AT97" s="7"/>
      <c r="AU97" s="7"/>
      <c r="AV97" s="7"/>
      <c r="AW97" s="7"/>
      <c r="AX97" s="7"/>
      <c r="AY97" s="7"/>
      <c r="AZ97" s="7"/>
      <c r="BA97" s="7"/>
      <c r="BB97" s="7"/>
      <c r="BC97" s="7"/>
      <c r="BD97" s="7"/>
      <c r="BE97" s="7"/>
      <c r="BF97" s="7"/>
      <c r="BG97" s="7"/>
    </row>
    <row r="98" spans="1:59">
      <c r="A98" s="210" t="s">
        <v>385</v>
      </c>
      <c r="B98" s="188">
        <v>20</v>
      </c>
      <c r="C98" s="189">
        <v>3.4</v>
      </c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  <c r="AM98" s="7"/>
      <c r="AN98" s="7"/>
      <c r="AO98" s="7"/>
      <c r="AP98" s="7"/>
      <c r="AQ98" s="7"/>
      <c r="AR98" s="7"/>
      <c r="AS98" s="7"/>
      <c r="AT98" s="7"/>
      <c r="AU98" s="7"/>
      <c r="AV98" s="7"/>
      <c r="AW98" s="7"/>
      <c r="AX98" s="7"/>
      <c r="AY98" s="7"/>
      <c r="AZ98" s="7"/>
      <c r="BA98" s="7"/>
      <c r="BB98" s="7"/>
      <c r="BC98" s="7"/>
      <c r="BD98" s="7"/>
      <c r="BE98" s="7"/>
      <c r="BF98" s="7"/>
      <c r="BG98" s="7"/>
    </row>
    <row r="99" spans="1:59">
      <c r="A99" s="7"/>
      <c r="B99" s="37"/>
      <c r="C99" s="64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  <c r="AF99" s="7"/>
      <c r="AG99" s="7"/>
      <c r="AH99" s="7"/>
      <c r="AI99" s="7"/>
      <c r="AJ99" s="7"/>
      <c r="AK99" s="7"/>
      <c r="AL99" s="7"/>
      <c r="AM99" s="7"/>
      <c r="AN99" s="7"/>
      <c r="AO99" s="7"/>
      <c r="AP99" s="7"/>
      <c r="AQ99" s="7"/>
      <c r="AR99" s="7"/>
      <c r="AS99" s="7"/>
      <c r="AT99" s="7"/>
      <c r="AU99" s="7"/>
      <c r="AV99" s="7"/>
      <c r="AW99" s="7"/>
      <c r="AX99" s="7"/>
      <c r="AY99" s="7"/>
      <c r="AZ99" s="7"/>
      <c r="BA99" s="7"/>
      <c r="BB99" s="7"/>
      <c r="BC99" s="7"/>
      <c r="BD99" s="7"/>
      <c r="BE99" s="7"/>
      <c r="BF99" s="7"/>
      <c r="BG99" s="7"/>
    </row>
    <row r="100" spans="1:59">
      <c r="A100" s="56" t="s">
        <v>130</v>
      </c>
      <c r="B100" s="208" t="s">
        <v>131</v>
      </c>
      <c r="C100" s="133" t="s">
        <v>412</v>
      </c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7"/>
      <c r="AE100" s="7"/>
      <c r="AF100" s="7"/>
      <c r="AG100" s="7"/>
      <c r="AH100" s="7"/>
      <c r="AI100" s="7"/>
      <c r="AJ100" s="7"/>
      <c r="AK100" s="7"/>
      <c r="AL100" s="7"/>
      <c r="AM100" s="7"/>
      <c r="AN100" s="7"/>
      <c r="AO100" s="7"/>
      <c r="AP100" s="7"/>
      <c r="AQ100" s="7"/>
      <c r="AR100" s="7"/>
      <c r="AS100" s="7"/>
      <c r="AT100" s="7"/>
      <c r="AU100" s="7"/>
      <c r="AV100" s="7"/>
      <c r="AW100" s="7"/>
      <c r="AX100" s="7"/>
      <c r="AY100" s="7"/>
      <c r="AZ100" s="7"/>
      <c r="BA100" s="7"/>
      <c r="BB100" s="7"/>
      <c r="BC100" s="7"/>
      <c r="BD100" s="7"/>
      <c r="BE100" s="7"/>
      <c r="BF100" s="7"/>
      <c r="BG100" s="7"/>
    </row>
    <row r="101" spans="1:59">
      <c r="A101" s="136"/>
      <c r="B101" s="259"/>
      <c r="C101" s="134" t="s">
        <v>413</v>
      </c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  <c r="AD101" s="7"/>
      <c r="AE101" s="7"/>
      <c r="AF101" s="7"/>
      <c r="AG101" s="7"/>
      <c r="AH101" s="7"/>
      <c r="AI101" s="7"/>
      <c r="AJ101" s="7"/>
      <c r="AK101" s="7"/>
      <c r="AL101" s="7"/>
      <c r="AM101" s="7"/>
      <c r="AN101" s="7"/>
      <c r="AO101" s="7"/>
      <c r="AP101" s="7"/>
      <c r="AQ101" s="7"/>
      <c r="AR101" s="7"/>
      <c r="AS101" s="7"/>
      <c r="AT101" s="7"/>
      <c r="AU101" s="7"/>
      <c r="AV101" s="7"/>
      <c r="AW101" s="7"/>
      <c r="AX101" s="7"/>
      <c r="AY101" s="7"/>
      <c r="AZ101" s="7"/>
      <c r="BA101" s="7"/>
      <c r="BB101" s="7"/>
      <c r="BC101" s="7"/>
      <c r="BD101" s="7"/>
      <c r="BE101" s="7"/>
      <c r="BF101" s="7"/>
      <c r="BG101" s="7"/>
    </row>
    <row r="102" spans="1:59">
      <c r="A102" s="32"/>
      <c r="B102" s="260" t="s">
        <v>132</v>
      </c>
      <c r="C102" s="261" t="s">
        <v>420</v>
      </c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  <c r="AD102" s="7"/>
      <c r="AE102" s="7"/>
      <c r="AF102" s="7"/>
      <c r="AG102" s="7"/>
      <c r="AH102" s="7"/>
      <c r="AI102" s="7"/>
      <c r="AJ102" s="7"/>
      <c r="AK102" s="7"/>
      <c r="AL102" s="7"/>
      <c r="AM102" s="7"/>
      <c r="AN102" s="7"/>
      <c r="AO102" s="7"/>
      <c r="AP102" s="7"/>
      <c r="AQ102" s="7"/>
      <c r="AR102" s="7"/>
      <c r="AS102" s="7"/>
      <c r="AT102" s="7"/>
      <c r="AU102" s="7"/>
      <c r="AV102" s="7"/>
      <c r="AW102" s="7"/>
      <c r="AX102" s="7"/>
      <c r="AY102" s="7"/>
      <c r="AZ102" s="7"/>
      <c r="BA102" s="7"/>
      <c r="BB102" s="7"/>
      <c r="BC102" s="7"/>
      <c r="BD102" s="7"/>
      <c r="BE102" s="7"/>
      <c r="BF102" s="7"/>
      <c r="BG102" s="7"/>
    </row>
    <row r="103" spans="1:59">
      <c r="A103" s="210" t="s">
        <v>376</v>
      </c>
      <c r="B103" s="139">
        <v>20</v>
      </c>
      <c r="C103" s="60">
        <v>2.9</v>
      </c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  <c r="AF103" s="7"/>
      <c r="AG103" s="7"/>
      <c r="AH103" s="7"/>
      <c r="AI103" s="7"/>
      <c r="AJ103" s="7"/>
      <c r="AK103" s="7"/>
      <c r="AL103" s="7"/>
      <c r="AM103" s="7"/>
      <c r="AN103" s="7"/>
      <c r="AO103" s="7"/>
      <c r="AP103" s="7"/>
      <c r="AQ103" s="7"/>
      <c r="AR103" s="7"/>
      <c r="AS103" s="7"/>
      <c r="AT103" s="7"/>
      <c r="AU103" s="7"/>
      <c r="AV103" s="7"/>
      <c r="AW103" s="7"/>
      <c r="AX103" s="7"/>
      <c r="AY103" s="7"/>
      <c r="AZ103" s="7"/>
      <c r="BA103" s="7"/>
      <c r="BB103" s="7"/>
      <c r="BC103" s="7"/>
      <c r="BD103" s="7"/>
      <c r="BE103" s="7"/>
      <c r="BF103" s="7"/>
      <c r="BG103" s="7"/>
    </row>
    <row r="104" spans="1:59">
      <c r="A104" s="210" t="s">
        <v>377</v>
      </c>
      <c r="B104" s="139">
        <v>20</v>
      </c>
      <c r="C104" s="139">
        <v>2.5</v>
      </c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  <c r="AD104" s="7"/>
      <c r="AE104" s="7"/>
      <c r="AF104" s="7"/>
      <c r="AG104" s="7"/>
      <c r="AH104" s="7"/>
      <c r="AI104" s="7"/>
      <c r="AJ104" s="7"/>
      <c r="AK104" s="7"/>
      <c r="AL104" s="7"/>
      <c r="AM104" s="7"/>
      <c r="AN104" s="7"/>
      <c r="AO104" s="7"/>
      <c r="AP104" s="7"/>
      <c r="AQ104" s="7"/>
      <c r="AR104" s="7"/>
      <c r="AS104" s="7"/>
      <c r="AT104" s="7"/>
      <c r="AU104" s="7"/>
      <c r="AV104" s="7"/>
      <c r="AW104" s="7"/>
      <c r="AX104" s="7"/>
      <c r="AY104" s="7"/>
      <c r="AZ104" s="7"/>
      <c r="BA104" s="7"/>
      <c r="BB104" s="7"/>
      <c r="BC104" s="7"/>
      <c r="BD104" s="7"/>
      <c r="BE104" s="7"/>
      <c r="BF104" s="7"/>
      <c r="BG104" s="7"/>
    </row>
    <row r="105" spans="1:59">
      <c r="A105" s="210" t="s">
        <v>378</v>
      </c>
      <c r="B105" s="139">
        <v>20</v>
      </c>
      <c r="C105" s="139">
        <v>2.4</v>
      </c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7"/>
      <c r="AD105" s="7"/>
      <c r="AE105" s="7"/>
      <c r="AF105" s="7"/>
      <c r="AG105" s="7"/>
      <c r="AH105" s="7"/>
      <c r="AI105" s="7"/>
      <c r="AJ105" s="7"/>
      <c r="AK105" s="7"/>
      <c r="AL105" s="7"/>
      <c r="AM105" s="7"/>
      <c r="AN105" s="7"/>
      <c r="AO105" s="7"/>
      <c r="AP105" s="7"/>
      <c r="AQ105" s="7"/>
      <c r="AR105" s="7"/>
      <c r="AS105" s="7"/>
      <c r="AT105" s="7"/>
      <c r="AU105" s="7"/>
      <c r="AV105" s="7"/>
      <c r="AW105" s="7"/>
      <c r="AX105" s="7"/>
      <c r="AY105" s="7"/>
      <c r="AZ105" s="7"/>
      <c r="BA105" s="7"/>
      <c r="BB105" s="7"/>
      <c r="BC105" s="7"/>
      <c r="BD105" s="7"/>
      <c r="BE105" s="7"/>
      <c r="BF105" s="7"/>
      <c r="BG105" s="7"/>
    </row>
    <row r="106" spans="1:59">
      <c r="A106" s="254"/>
      <c r="B106" s="13"/>
      <c r="C106" s="9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  <c r="AF106" s="7"/>
      <c r="AG106" s="7"/>
      <c r="AH106" s="7"/>
      <c r="AI106" s="7"/>
      <c r="AJ106" s="7"/>
      <c r="AK106" s="7"/>
      <c r="AL106" s="7"/>
      <c r="AM106" s="7"/>
      <c r="AN106" s="7"/>
      <c r="AO106" s="7"/>
      <c r="AP106" s="7"/>
      <c r="AQ106" s="7"/>
      <c r="AR106" s="7"/>
      <c r="AS106" s="7"/>
      <c r="AT106" s="7"/>
      <c r="AU106" s="7"/>
      <c r="AV106" s="7"/>
      <c r="AW106" s="7"/>
      <c r="AX106" s="7"/>
      <c r="AY106" s="7"/>
      <c r="AZ106" s="7"/>
      <c r="BA106" s="7"/>
      <c r="BB106" s="7"/>
      <c r="BC106" s="7"/>
      <c r="BD106" s="7"/>
      <c r="BE106" s="7"/>
      <c r="BF106" s="7"/>
      <c r="BG106" s="7"/>
    </row>
    <row r="107" spans="1:59">
      <c r="A107" s="210" t="s">
        <v>133</v>
      </c>
      <c r="B107" s="139">
        <v>20</v>
      </c>
      <c r="C107" s="139">
        <v>4.3</v>
      </c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  <c r="AF107" s="7"/>
      <c r="AG107" s="7"/>
      <c r="AH107" s="7"/>
      <c r="AI107" s="7"/>
      <c r="AJ107" s="7"/>
      <c r="AK107" s="7"/>
      <c r="AL107" s="7"/>
      <c r="AM107" s="7"/>
      <c r="AN107" s="7"/>
      <c r="AO107" s="7"/>
      <c r="AP107" s="7"/>
      <c r="AQ107" s="7"/>
      <c r="AR107" s="7"/>
      <c r="AS107" s="7"/>
      <c r="AT107" s="7"/>
      <c r="AU107" s="7"/>
      <c r="AV107" s="7"/>
      <c r="AW107" s="7"/>
      <c r="AX107" s="7"/>
      <c r="AY107" s="7"/>
      <c r="AZ107" s="7"/>
      <c r="BA107" s="7"/>
      <c r="BB107" s="7"/>
      <c r="BC107" s="7"/>
      <c r="BD107" s="7"/>
      <c r="BE107" s="7"/>
      <c r="BF107" s="7"/>
      <c r="BG107" s="7"/>
    </row>
    <row r="108" spans="1:59">
      <c r="A108" s="210" t="s">
        <v>380</v>
      </c>
      <c r="B108" s="139">
        <v>20</v>
      </c>
      <c r="C108" s="139">
        <v>3.6</v>
      </c>
      <c r="D108" s="7"/>
      <c r="E108" s="7"/>
      <c r="F108" s="140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7"/>
      <c r="AH108" s="7"/>
      <c r="AI108" s="7"/>
      <c r="AJ108" s="7"/>
      <c r="AK108" s="7"/>
      <c r="AL108" s="7"/>
      <c r="AM108" s="7"/>
      <c r="AN108" s="7"/>
      <c r="AO108" s="7"/>
      <c r="AP108" s="7"/>
      <c r="AQ108" s="7"/>
      <c r="AR108" s="7"/>
      <c r="AS108" s="7"/>
      <c r="AT108" s="7"/>
      <c r="AU108" s="7"/>
      <c r="AV108" s="7"/>
      <c r="AW108" s="7"/>
      <c r="AX108" s="7"/>
      <c r="AY108" s="7"/>
      <c r="AZ108" s="7"/>
      <c r="BA108" s="7"/>
      <c r="BB108" s="7"/>
      <c r="BC108" s="7"/>
      <c r="BD108" s="7"/>
      <c r="BE108" s="7"/>
      <c r="BF108" s="7"/>
      <c r="BG108" s="7"/>
    </row>
    <row r="109" spans="1:59">
      <c r="A109" s="210" t="s">
        <v>381</v>
      </c>
      <c r="B109" s="188">
        <v>20</v>
      </c>
      <c r="C109" s="189">
        <v>3.3</v>
      </c>
      <c r="D109" s="7"/>
      <c r="E109" s="140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7"/>
      <c r="AN109" s="7"/>
      <c r="AO109" s="7"/>
      <c r="AP109" s="7"/>
      <c r="AQ109" s="7"/>
      <c r="AR109" s="7"/>
      <c r="AS109" s="7"/>
      <c r="AT109" s="7"/>
      <c r="AU109" s="7"/>
      <c r="AV109" s="7"/>
      <c r="AW109" s="7"/>
      <c r="AX109" s="7"/>
      <c r="AY109" s="7"/>
      <c r="AZ109" s="7"/>
      <c r="BA109" s="7"/>
      <c r="BB109" s="7"/>
      <c r="BC109" s="7"/>
      <c r="BD109" s="7"/>
      <c r="BE109" s="7"/>
      <c r="BF109" s="7"/>
      <c r="BG109" s="7"/>
    </row>
    <row r="110" spans="1:59">
      <c r="A110" s="249"/>
      <c r="C110" s="178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  <c r="AD110" s="7"/>
      <c r="AE110" s="7"/>
      <c r="AF110" s="7"/>
      <c r="AG110" s="7"/>
      <c r="AH110" s="7"/>
      <c r="AI110" s="7"/>
      <c r="AJ110" s="7"/>
      <c r="AK110" s="7"/>
      <c r="AL110" s="7"/>
      <c r="AM110" s="7"/>
      <c r="AN110" s="7"/>
      <c r="AO110" s="7"/>
      <c r="AP110" s="7"/>
      <c r="AQ110" s="7"/>
      <c r="AR110" s="7"/>
      <c r="AS110" s="7"/>
      <c r="AT110" s="7"/>
      <c r="AU110" s="7"/>
      <c r="AV110" s="7"/>
      <c r="AW110" s="7"/>
      <c r="AX110" s="7"/>
      <c r="AY110" s="7"/>
      <c r="AZ110" s="7"/>
      <c r="BA110" s="7"/>
      <c r="BB110" s="7"/>
      <c r="BC110" s="7"/>
      <c r="BD110" s="7"/>
      <c r="BE110" s="7"/>
      <c r="BF110" s="7"/>
      <c r="BG110" s="7"/>
    </row>
    <row r="111" spans="1:59">
      <c r="A111" s="210" t="s">
        <v>134</v>
      </c>
      <c r="B111" s="188">
        <v>20</v>
      </c>
      <c r="C111" s="189">
        <v>3.4</v>
      </c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  <c r="AD111" s="7"/>
      <c r="AE111" s="7"/>
      <c r="AF111" s="7"/>
      <c r="AG111" s="7"/>
      <c r="AH111" s="7"/>
      <c r="AI111" s="7"/>
      <c r="AJ111" s="7"/>
      <c r="AK111" s="7"/>
      <c r="AL111" s="7"/>
      <c r="AM111" s="7"/>
      <c r="AN111" s="7"/>
      <c r="AO111" s="7"/>
      <c r="AP111" s="7"/>
      <c r="AQ111" s="7"/>
      <c r="AR111" s="7"/>
      <c r="AS111" s="7"/>
      <c r="AT111" s="7"/>
      <c r="AU111" s="7"/>
      <c r="AV111" s="7"/>
      <c r="AW111" s="7"/>
      <c r="AX111" s="7"/>
      <c r="AY111" s="7"/>
      <c r="AZ111" s="7"/>
      <c r="BA111" s="7"/>
      <c r="BB111" s="7"/>
      <c r="BC111" s="7"/>
      <c r="BD111" s="7"/>
      <c r="BE111" s="7"/>
      <c r="BF111" s="7"/>
      <c r="BG111" s="7"/>
    </row>
    <row r="112" spans="1:59">
      <c r="A112" s="210" t="s">
        <v>383</v>
      </c>
      <c r="B112" s="188">
        <v>20</v>
      </c>
      <c r="C112" s="189">
        <v>3.1</v>
      </c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7"/>
      <c r="AH112" s="7"/>
      <c r="AI112" s="7"/>
      <c r="AJ112" s="7"/>
      <c r="AK112" s="7"/>
      <c r="AL112" s="7"/>
      <c r="AM112" s="7"/>
      <c r="AN112" s="7"/>
      <c r="AO112" s="7"/>
      <c r="AP112" s="7"/>
      <c r="AQ112" s="7"/>
      <c r="AR112" s="7"/>
      <c r="AS112" s="7"/>
      <c r="AT112" s="7"/>
      <c r="AU112" s="7"/>
      <c r="AV112" s="7"/>
      <c r="AW112" s="7"/>
      <c r="AX112" s="7"/>
      <c r="AY112" s="7"/>
      <c r="AZ112" s="7"/>
      <c r="BA112" s="7"/>
      <c r="BB112" s="7"/>
      <c r="BC112" s="7"/>
      <c r="BD112" s="7"/>
      <c r="BE112" s="7"/>
      <c r="BF112" s="7"/>
      <c r="BG112" s="7"/>
    </row>
    <row r="113" spans="1:59">
      <c r="A113" s="210" t="s">
        <v>384</v>
      </c>
      <c r="B113" s="188">
        <v>20</v>
      </c>
      <c r="C113" s="189">
        <v>2.9</v>
      </c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7"/>
      <c r="AH113" s="7"/>
      <c r="AI113" s="7"/>
      <c r="AJ113" s="7"/>
      <c r="AK113" s="7"/>
      <c r="AL113" s="7"/>
      <c r="AM113" s="7"/>
      <c r="AN113" s="7"/>
      <c r="AO113" s="7"/>
      <c r="AP113" s="7"/>
      <c r="AQ113" s="7"/>
      <c r="AR113" s="7"/>
      <c r="AS113" s="7"/>
      <c r="AT113" s="7"/>
      <c r="AU113" s="7"/>
      <c r="AV113" s="7"/>
      <c r="AW113" s="7"/>
      <c r="AX113" s="7"/>
      <c r="AY113" s="7"/>
      <c r="AZ113" s="7"/>
      <c r="BA113" s="7"/>
      <c r="BB113" s="7"/>
      <c r="BC113" s="7"/>
      <c r="BD113" s="7"/>
      <c r="BE113" s="7"/>
      <c r="BF113" s="7"/>
      <c r="BG113" s="7"/>
    </row>
    <row r="114" spans="1:59">
      <c r="A114" s="16"/>
      <c r="B114" s="37"/>
      <c r="C114" s="64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  <c r="AI114" s="7"/>
      <c r="AJ114" s="7"/>
      <c r="AK114" s="7"/>
      <c r="AL114" s="7"/>
      <c r="AM114" s="7"/>
      <c r="AN114" s="7"/>
      <c r="AO114" s="7"/>
      <c r="AP114" s="7"/>
      <c r="AQ114" s="7"/>
      <c r="AR114" s="7"/>
      <c r="AS114" s="7"/>
      <c r="AT114" s="7"/>
      <c r="AU114" s="7"/>
      <c r="AV114" s="7"/>
      <c r="AW114" s="7"/>
      <c r="AX114" s="7"/>
      <c r="AY114" s="7"/>
      <c r="AZ114" s="7"/>
      <c r="BA114" s="7"/>
      <c r="BB114" s="7"/>
      <c r="BC114" s="7"/>
      <c r="BD114" s="7"/>
      <c r="BE114" s="7"/>
      <c r="BF114" s="7"/>
      <c r="BG114" s="7"/>
    </row>
    <row r="115" spans="1:59">
      <c r="A115" s="56" t="s">
        <v>414</v>
      </c>
      <c r="B115" s="13"/>
      <c r="C115" s="13"/>
      <c r="D115" s="13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  <c r="AB115" s="7"/>
      <c r="AC115" s="7"/>
      <c r="AD115" s="7"/>
      <c r="AE115" s="7"/>
      <c r="AF115" s="7"/>
      <c r="AG115" s="7"/>
      <c r="AH115" s="7"/>
      <c r="AI115" s="7"/>
      <c r="AJ115" s="7"/>
      <c r="AK115" s="7"/>
      <c r="AL115" s="7"/>
      <c r="AM115" s="7"/>
      <c r="AN115" s="7"/>
      <c r="AO115" s="7"/>
      <c r="AP115" s="7"/>
      <c r="AQ115" s="7"/>
      <c r="AR115" s="7"/>
      <c r="AS115" s="7"/>
      <c r="AT115" s="7"/>
      <c r="AU115" s="7"/>
      <c r="AV115" s="7"/>
      <c r="AW115" s="7"/>
      <c r="AX115" s="7"/>
      <c r="AY115" s="7"/>
      <c r="AZ115" s="7"/>
      <c r="BA115" s="7"/>
      <c r="BB115" s="7"/>
      <c r="BC115" s="7"/>
      <c r="BD115" s="7"/>
      <c r="BE115" s="7"/>
      <c r="BF115" s="7"/>
      <c r="BG115" s="7"/>
    </row>
    <row r="116" spans="1:59">
      <c r="A116" s="210" t="s">
        <v>416</v>
      </c>
      <c r="B116" s="210" t="s">
        <v>2</v>
      </c>
      <c r="C116" s="252">
        <v>2.64</v>
      </c>
      <c r="D116" s="210" t="s">
        <v>2</v>
      </c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7"/>
      <c r="AD116" s="7"/>
      <c r="AE116" s="7"/>
      <c r="AF116" s="7"/>
      <c r="AG116" s="7"/>
      <c r="AH116" s="7"/>
      <c r="AI116" s="7"/>
      <c r="AJ116" s="7"/>
      <c r="AK116" s="7"/>
      <c r="AL116" s="7"/>
      <c r="AM116" s="7"/>
      <c r="AN116" s="7"/>
      <c r="AO116" s="7"/>
      <c r="AP116" s="7"/>
      <c r="AQ116" s="7"/>
      <c r="AR116" s="7"/>
      <c r="AS116" s="7"/>
      <c r="AT116" s="7"/>
      <c r="AU116" s="7"/>
      <c r="AV116" s="7"/>
      <c r="AW116" s="7"/>
      <c r="AX116" s="7"/>
      <c r="AY116" s="7"/>
      <c r="AZ116" s="7"/>
      <c r="BA116" s="7"/>
      <c r="BB116" s="7"/>
      <c r="BC116" s="7"/>
      <c r="BD116" s="7"/>
      <c r="BE116" s="7"/>
      <c r="BF116" s="7"/>
      <c r="BG116" s="7"/>
    </row>
    <row r="117" spans="1:59">
      <c r="A117" s="210" t="s">
        <v>417</v>
      </c>
      <c r="B117" s="139"/>
      <c r="C117" s="139">
        <v>4.05</v>
      </c>
      <c r="D117" s="139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7"/>
      <c r="AD117" s="7"/>
      <c r="AE117" s="7"/>
      <c r="AF117" s="7"/>
      <c r="AG117" s="7"/>
      <c r="AH117" s="7"/>
      <c r="AI117" s="7"/>
      <c r="AJ117" s="7"/>
      <c r="AK117" s="7"/>
      <c r="AL117" s="7"/>
      <c r="AM117" s="7"/>
      <c r="AN117" s="7"/>
      <c r="AO117" s="7"/>
      <c r="AP117" s="7"/>
      <c r="AQ117" s="7"/>
      <c r="AR117" s="7"/>
      <c r="AS117" s="7"/>
      <c r="AT117" s="7"/>
      <c r="AU117" s="7"/>
      <c r="AV117" s="7"/>
      <c r="AW117" s="7"/>
      <c r="AX117" s="7"/>
      <c r="AY117" s="7"/>
      <c r="AZ117" s="7"/>
      <c r="BA117" s="7"/>
      <c r="BB117" s="7"/>
      <c r="BC117" s="7"/>
      <c r="BD117" s="7"/>
      <c r="BE117" s="7"/>
      <c r="BF117" s="7"/>
      <c r="BG117" s="7"/>
    </row>
    <row r="118" spans="1:59">
      <c r="A118" s="210" t="s">
        <v>418</v>
      </c>
      <c r="B118" s="188"/>
      <c r="C118" s="139">
        <v>2.2200000000000002</v>
      </c>
      <c r="D118" s="139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  <c r="AD118" s="7"/>
      <c r="AE118" s="7"/>
      <c r="AF118" s="7"/>
      <c r="AG118" s="7"/>
      <c r="AH118" s="7"/>
      <c r="AI118" s="7"/>
      <c r="AJ118" s="7"/>
      <c r="AK118" s="7"/>
      <c r="AL118" s="7"/>
      <c r="AM118" s="7"/>
      <c r="AN118" s="7"/>
      <c r="AO118" s="7"/>
      <c r="AP118" s="7"/>
      <c r="AQ118" s="7"/>
      <c r="AR118" s="7"/>
      <c r="AS118" s="7"/>
      <c r="AT118" s="7"/>
      <c r="AU118" s="7"/>
      <c r="AV118" s="7"/>
      <c r="AW118" s="7"/>
      <c r="AX118" s="7"/>
      <c r="AY118" s="7"/>
      <c r="AZ118" s="7"/>
      <c r="BA118" s="7"/>
      <c r="BB118" s="7"/>
      <c r="BC118" s="7"/>
      <c r="BD118" s="7"/>
      <c r="BE118" s="7"/>
      <c r="BF118" s="7"/>
      <c r="BG118" s="7"/>
    </row>
    <row r="119" spans="1:59">
      <c r="A119" s="7"/>
      <c r="B119" s="37"/>
      <c r="C119" s="64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  <c r="AI119" s="7"/>
      <c r="AJ119" s="7"/>
      <c r="AK119" s="7"/>
      <c r="AL119" s="7"/>
      <c r="AM119" s="7"/>
      <c r="AN119" s="7"/>
      <c r="AO119" s="7"/>
      <c r="AP119" s="7"/>
      <c r="AQ119" s="7"/>
      <c r="AR119" s="7"/>
      <c r="AS119" s="7"/>
      <c r="AT119" s="7"/>
      <c r="AU119" s="7"/>
      <c r="AV119" s="7"/>
      <c r="AW119" s="7"/>
      <c r="AX119" s="7"/>
      <c r="AY119" s="7"/>
      <c r="AZ119" s="7"/>
      <c r="BA119" s="7"/>
      <c r="BB119" s="7"/>
      <c r="BC119" s="7"/>
      <c r="BD119" s="7"/>
      <c r="BE119" s="7"/>
      <c r="BF119" s="7"/>
      <c r="BG119" s="7"/>
    </row>
    <row r="120" spans="1:59">
      <c r="A120" s="56" t="s">
        <v>13</v>
      </c>
      <c r="B120" s="13"/>
      <c r="C120" s="13"/>
      <c r="D120" s="13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  <c r="AD120" s="7"/>
      <c r="AE120" s="7"/>
      <c r="AF120" s="7"/>
      <c r="AG120" s="7"/>
      <c r="AH120" s="7"/>
      <c r="AI120" s="7"/>
      <c r="AJ120" s="7"/>
      <c r="AK120" s="7"/>
      <c r="AL120" s="7"/>
      <c r="AM120" s="7"/>
      <c r="AN120" s="7"/>
      <c r="AO120" s="7"/>
      <c r="AP120" s="7"/>
      <c r="AQ120" s="7"/>
      <c r="AR120" s="7"/>
      <c r="AS120" s="7"/>
      <c r="AT120" s="7"/>
      <c r="AU120" s="7"/>
      <c r="AV120" s="7"/>
      <c r="AW120" s="7"/>
      <c r="AX120" s="7"/>
      <c r="AY120" s="7"/>
      <c r="AZ120" s="7"/>
      <c r="BA120" s="7"/>
      <c r="BB120" s="7"/>
      <c r="BC120" s="7"/>
      <c r="BD120" s="7"/>
      <c r="BE120" s="7"/>
      <c r="BF120" s="7"/>
      <c r="BG120" s="7"/>
    </row>
    <row r="121" spans="1:59">
      <c r="A121" s="210" t="s">
        <v>68</v>
      </c>
      <c r="B121" s="210" t="s">
        <v>2</v>
      </c>
      <c r="C121" s="253">
        <v>0.72</v>
      </c>
      <c r="D121" s="210" t="s">
        <v>421</v>
      </c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  <c r="AD121" s="7"/>
      <c r="AE121" s="7"/>
      <c r="AF121" s="7"/>
      <c r="AG121" s="7"/>
      <c r="AH121" s="7"/>
      <c r="AI121" s="7"/>
      <c r="AJ121" s="7"/>
      <c r="AK121" s="7"/>
      <c r="AL121" s="7"/>
      <c r="AM121" s="7"/>
      <c r="AN121" s="7"/>
      <c r="AO121" s="7"/>
      <c r="AP121" s="7"/>
      <c r="AQ121" s="7"/>
      <c r="AR121" s="7"/>
      <c r="AS121" s="7"/>
      <c r="AT121" s="7"/>
      <c r="AU121" s="7"/>
      <c r="AV121" s="7"/>
      <c r="AW121" s="7"/>
      <c r="AX121" s="7"/>
      <c r="AY121" s="7"/>
      <c r="AZ121" s="7"/>
      <c r="BA121" s="7"/>
      <c r="BB121" s="7"/>
      <c r="BC121" s="7"/>
      <c r="BD121" s="7"/>
      <c r="BE121" s="7"/>
      <c r="BF121" s="7"/>
      <c r="BG121" s="7"/>
    </row>
    <row r="122" spans="1:59">
      <c r="A122" s="210" t="s">
        <v>386</v>
      </c>
      <c r="B122" s="139"/>
      <c r="C122" s="253">
        <f>1/(1/C121+0.05/0.19)</f>
        <v>0.60530973451327441</v>
      </c>
      <c r="D122" s="139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  <c r="AM122" s="7"/>
      <c r="AN122" s="7"/>
      <c r="AO122" s="7"/>
      <c r="AP122" s="7"/>
      <c r="AQ122" s="7"/>
      <c r="AR122" s="7"/>
      <c r="AS122" s="7"/>
      <c r="AT122" s="7"/>
      <c r="AU122" s="7"/>
      <c r="AV122" s="7"/>
      <c r="AW122" s="7"/>
      <c r="AX122" s="7"/>
      <c r="AY122" s="7"/>
      <c r="AZ122" s="7"/>
      <c r="BA122" s="7"/>
      <c r="BB122" s="7"/>
      <c r="BC122" s="7"/>
      <c r="BD122" s="7"/>
      <c r="BE122" s="7"/>
      <c r="BF122" s="7"/>
      <c r="BG122" s="7"/>
    </row>
    <row r="123" spans="1:59">
      <c r="A123" s="210" t="s">
        <v>387</v>
      </c>
      <c r="B123" s="188"/>
      <c r="C123" s="253">
        <f>1/(1/C121+0.1/0.19)</f>
        <v>0.52213740458015268</v>
      </c>
      <c r="D123" s="139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7"/>
      <c r="AF123" s="7"/>
      <c r="AG123" s="7"/>
      <c r="AH123" s="7"/>
      <c r="AI123" s="7"/>
      <c r="AJ123" s="7"/>
      <c r="AK123" s="7"/>
      <c r="AL123" s="7"/>
      <c r="AM123" s="7"/>
      <c r="AN123" s="7"/>
      <c r="AO123" s="7"/>
      <c r="AP123" s="7"/>
      <c r="AQ123" s="7"/>
      <c r="AR123" s="7"/>
      <c r="AS123" s="7"/>
      <c r="AT123" s="7"/>
      <c r="AU123" s="7"/>
      <c r="AV123" s="7"/>
      <c r="AW123" s="7"/>
      <c r="AX123" s="7"/>
      <c r="AY123" s="7"/>
      <c r="AZ123" s="7"/>
      <c r="BA123" s="7"/>
      <c r="BB123" s="7"/>
      <c r="BC123" s="7"/>
      <c r="BD123" s="7"/>
      <c r="BE123" s="7"/>
      <c r="BF123" s="7"/>
      <c r="BG123" s="7"/>
    </row>
    <row r="124" spans="1:59">
      <c r="A124" s="210" t="s">
        <v>434</v>
      </c>
      <c r="B124" s="188"/>
      <c r="C124" s="253">
        <f>1/(1/C121+0.025/0.019)</f>
        <v>0.36972972972972973</v>
      </c>
      <c r="D124" s="139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  <c r="AE124" s="7"/>
      <c r="AF124" s="7"/>
      <c r="AG124" s="7"/>
      <c r="AH124" s="7"/>
      <c r="AI124" s="7"/>
      <c r="AJ124" s="7"/>
      <c r="AK124" s="7"/>
      <c r="AL124" s="7"/>
      <c r="AM124" s="7"/>
      <c r="AN124" s="7"/>
      <c r="AO124" s="7"/>
      <c r="AP124" s="7"/>
      <c r="AQ124" s="7"/>
      <c r="AR124" s="7"/>
      <c r="AS124" s="7"/>
      <c r="AT124" s="7"/>
      <c r="AU124" s="7"/>
      <c r="AV124" s="7"/>
      <c r="AW124" s="7"/>
      <c r="AX124" s="7"/>
      <c r="AY124" s="7"/>
      <c r="AZ124" s="7"/>
      <c r="BA124" s="7"/>
      <c r="BB124" s="7"/>
      <c r="BC124" s="7"/>
      <c r="BD124" s="7"/>
      <c r="BE124" s="7"/>
      <c r="BF124" s="7"/>
      <c r="BG124" s="7"/>
    </row>
    <row r="125" spans="1:59">
      <c r="A125" s="7"/>
      <c r="B125" s="37"/>
      <c r="C125" s="64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  <c r="AD125" s="7"/>
      <c r="AE125" s="7"/>
      <c r="AF125" s="7"/>
      <c r="AG125" s="7"/>
      <c r="AH125" s="7"/>
      <c r="AI125" s="7"/>
      <c r="AJ125" s="7"/>
      <c r="AK125" s="7"/>
      <c r="AL125" s="7"/>
      <c r="AM125" s="7"/>
      <c r="AN125" s="7"/>
      <c r="AO125" s="7"/>
      <c r="AP125" s="7"/>
      <c r="AQ125" s="7"/>
      <c r="AR125" s="7"/>
      <c r="AS125" s="7"/>
      <c r="AT125" s="7"/>
      <c r="AU125" s="7"/>
      <c r="AV125" s="7"/>
      <c r="AW125" s="7"/>
      <c r="AX125" s="7"/>
      <c r="AY125" s="7"/>
      <c r="AZ125" s="7"/>
      <c r="BA125" s="7"/>
      <c r="BB125" s="7"/>
      <c r="BC125" s="7"/>
      <c r="BD125" s="7"/>
      <c r="BE125" s="7"/>
      <c r="BF125" s="7"/>
      <c r="BG125" s="7"/>
    </row>
    <row r="126" spans="1:59">
      <c r="A126" s="7"/>
      <c r="B126" s="37"/>
      <c r="C126" s="64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7"/>
      <c r="AH126" s="7"/>
      <c r="AI126" s="7"/>
      <c r="AJ126" s="7"/>
      <c r="AK126" s="7"/>
      <c r="AL126" s="7"/>
      <c r="AM126" s="7"/>
      <c r="AN126" s="7"/>
      <c r="AO126" s="7"/>
      <c r="AP126" s="7"/>
      <c r="AQ126" s="7"/>
      <c r="AR126" s="7"/>
      <c r="AS126" s="7"/>
      <c r="AT126" s="7"/>
      <c r="AU126" s="7"/>
      <c r="AV126" s="7"/>
      <c r="AW126" s="7"/>
      <c r="AX126" s="7"/>
      <c r="AY126" s="7"/>
      <c r="AZ126" s="7"/>
      <c r="BA126" s="7"/>
      <c r="BB126" s="7"/>
      <c r="BC126" s="7"/>
      <c r="BD126" s="7"/>
      <c r="BE126" s="7"/>
      <c r="BF126" s="7"/>
      <c r="BG126" s="7"/>
    </row>
    <row r="127" spans="1:59">
      <c r="A127" s="7"/>
      <c r="B127" s="37"/>
      <c r="C127" s="64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  <c r="AD127" s="7"/>
      <c r="AE127" s="7"/>
      <c r="AF127" s="7"/>
      <c r="AG127" s="7"/>
      <c r="AH127" s="7"/>
      <c r="AI127" s="7"/>
      <c r="AJ127" s="7"/>
      <c r="AK127" s="7"/>
      <c r="AL127" s="7"/>
      <c r="AM127" s="7"/>
      <c r="AN127" s="7"/>
      <c r="AO127" s="7"/>
      <c r="AP127" s="7"/>
      <c r="AQ127" s="7"/>
      <c r="AR127" s="7"/>
      <c r="AS127" s="7"/>
      <c r="AT127" s="7"/>
      <c r="AU127" s="7"/>
      <c r="AV127" s="7"/>
      <c r="AW127" s="7"/>
      <c r="AX127" s="7"/>
      <c r="AY127" s="7"/>
      <c r="AZ127" s="7"/>
      <c r="BA127" s="7"/>
      <c r="BB127" s="7"/>
      <c r="BC127" s="7"/>
      <c r="BD127" s="7"/>
      <c r="BE127" s="7"/>
      <c r="BF127" s="7"/>
      <c r="BG127" s="7"/>
    </row>
    <row r="128" spans="1:59">
      <c r="A128" s="7"/>
      <c r="B128" s="37"/>
      <c r="C128" s="64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7"/>
      <c r="AH128" s="7"/>
      <c r="AI128" s="7"/>
      <c r="AJ128" s="7"/>
      <c r="AK128" s="7"/>
      <c r="AL128" s="7"/>
      <c r="AM128" s="7"/>
      <c r="AN128" s="7"/>
      <c r="AO128" s="7"/>
      <c r="AP128" s="7"/>
      <c r="AQ128" s="7"/>
      <c r="AR128" s="7"/>
      <c r="AS128" s="7"/>
      <c r="AT128" s="7"/>
      <c r="AU128" s="7"/>
      <c r="AV128" s="7"/>
      <c r="AW128" s="7"/>
      <c r="AX128" s="7"/>
      <c r="AY128" s="7"/>
      <c r="AZ128" s="7"/>
      <c r="BA128" s="7"/>
      <c r="BB128" s="7"/>
      <c r="BC128" s="7"/>
      <c r="BD128" s="7"/>
      <c r="BE128" s="7"/>
      <c r="BF128" s="7"/>
      <c r="BG128" s="7"/>
    </row>
    <row r="129" spans="1:59">
      <c r="A129" s="7"/>
      <c r="B129" s="37"/>
      <c r="C129" s="64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  <c r="AB129" s="7"/>
      <c r="AC129" s="7"/>
      <c r="AD129" s="7"/>
      <c r="AE129" s="7"/>
      <c r="AF129" s="7"/>
      <c r="AG129" s="7"/>
      <c r="AH129" s="7"/>
      <c r="AI129" s="7"/>
      <c r="AJ129" s="7"/>
      <c r="AK129" s="7"/>
      <c r="AL129" s="7"/>
      <c r="AM129" s="7"/>
      <c r="AN129" s="7"/>
      <c r="AO129" s="7"/>
      <c r="AP129" s="7"/>
      <c r="AQ129" s="7"/>
      <c r="AR129" s="7"/>
      <c r="AS129" s="7"/>
      <c r="AT129" s="7"/>
      <c r="AU129" s="7"/>
      <c r="AV129" s="7"/>
      <c r="AW129" s="7"/>
      <c r="AX129" s="7"/>
      <c r="AY129" s="7"/>
      <c r="AZ129" s="7"/>
      <c r="BA129" s="7"/>
      <c r="BB129" s="7"/>
      <c r="BC129" s="7"/>
      <c r="BD129" s="7"/>
      <c r="BE129" s="7"/>
      <c r="BF129" s="7"/>
      <c r="BG129" s="7"/>
    </row>
    <row r="130" spans="1:59">
      <c r="A130" s="7"/>
      <c r="B130" s="37"/>
      <c r="C130" s="64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7"/>
      <c r="AG130" s="7"/>
      <c r="AH130" s="7"/>
      <c r="AI130" s="7"/>
      <c r="AJ130" s="7"/>
      <c r="AK130" s="7"/>
      <c r="AL130" s="7"/>
      <c r="AM130" s="7"/>
      <c r="AN130" s="7"/>
      <c r="AO130" s="7"/>
      <c r="AP130" s="7"/>
      <c r="AQ130" s="7"/>
      <c r="AR130" s="7"/>
      <c r="AS130" s="7"/>
      <c r="AT130" s="7"/>
      <c r="AU130" s="7"/>
      <c r="AV130" s="7"/>
      <c r="AW130" s="7"/>
      <c r="AX130" s="7"/>
      <c r="AY130" s="7"/>
      <c r="AZ130" s="7"/>
      <c r="BA130" s="7"/>
      <c r="BB130" s="7"/>
      <c r="BC130" s="7"/>
      <c r="BD130" s="7"/>
      <c r="BE130" s="7"/>
      <c r="BF130" s="7"/>
      <c r="BG130" s="7"/>
    </row>
    <row r="131" spans="1:59">
      <c r="A131" s="7"/>
      <c r="B131" s="37"/>
      <c r="C131" s="64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7"/>
      <c r="AD131" s="7"/>
      <c r="AE131" s="7"/>
      <c r="AF131" s="7"/>
      <c r="AG131" s="7"/>
      <c r="AH131" s="7"/>
      <c r="AI131" s="7"/>
      <c r="AJ131" s="7"/>
      <c r="AK131" s="7"/>
      <c r="AL131" s="7"/>
      <c r="AM131" s="7"/>
      <c r="AN131" s="7"/>
      <c r="AO131" s="7"/>
      <c r="AP131" s="7"/>
      <c r="AQ131" s="7"/>
      <c r="AR131" s="7"/>
      <c r="AS131" s="7"/>
      <c r="AT131" s="7"/>
      <c r="AU131" s="7"/>
      <c r="AV131" s="7"/>
      <c r="AW131" s="7"/>
      <c r="AX131" s="7"/>
      <c r="AY131" s="7"/>
      <c r="AZ131" s="7"/>
      <c r="BA131" s="7"/>
      <c r="BB131" s="7"/>
      <c r="BC131" s="7"/>
      <c r="BD131" s="7"/>
      <c r="BE131" s="7"/>
      <c r="BF131" s="7"/>
      <c r="BG131" s="7"/>
    </row>
    <row r="132" spans="1:59">
      <c r="A132" s="7"/>
      <c r="B132" s="37"/>
      <c r="C132" s="64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  <c r="AB132" s="7"/>
      <c r="AC132" s="7"/>
      <c r="AD132" s="7"/>
      <c r="AE132" s="7"/>
      <c r="AF132" s="7"/>
      <c r="AG132" s="7"/>
      <c r="AH132" s="7"/>
      <c r="AI132" s="7"/>
      <c r="AJ132" s="7"/>
      <c r="AK132" s="7"/>
      <c r="AL132" s="7"/>
      <c r="AM132" s="7"/>
      <c r="AN132" s="7"/>
      <c r="AO132" s="7"/>
      <c r="AP132" s="7"/>
      <c r="AQ132" s="7"/>
      <c r="AR132" s="7"/>
      <c r="AS132" s="7"/>
      <c r="AT132" s="7"/>
      <c r="AU132" s="7"/>
      <c r="AV132" s="7"/>
      <c r="AW132" s="7"/>
      <c r="AX132" s="7"/>
      <c r="AY132" s="7"/>
      <c r="AZ132" s="7"/>
      <c r="BA132" s="7"/>
      <c r="BB132" s="7"/>
      <c r="BC132" s="7"/>
      <c r="BD132" s="7"/>
      <c r="BE132" s="7"/>
      <c r="BF132" s="7"/>
      <c r="BG132" s="7"/>
    </row>
    <row r="133" spans="1:59">
      <c r="A133" s="7"/>
      <c r="B133" s="37"/>
      <c r="C133" s="64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  <c r="AB133" s="7"/>
      <c r="AC133" s="7"/>
      <c r="AD133" s="7"/>
      <c r="AE133" s="7"/>
      <c r="AF133" s="7"/>
      <c r="AG133" s="7"/>
      <c r="AH133" s="7"/>
      <c r="AI133" s="7"/>
      <c r="AJ133" s="7"/>
      <c r="AK133" s="7"/>
      <c r="AL133" s="7"/>
      <c r="AM133" s="7"/>
      <c r="AN133" s="7"/>
      <c r="AO133" s="7"/>
      <c r="AP133" s="7"/>
      <c r="AQ133" s="7"/>
      <c r="AR133" s="7"/>
      <c r="AS133" s="7"/>
      <c r="AT133" s="7"/>
      <c r="AU133" s="7"/>
      <c r="AV133" s="7"/>
      <c r="AW133" s="7"/>
      <c r="AX133" s="7"/>
      <c r="AY133" s="7"/>
      <c r="AZ133" s="7"/>
      <c r="BA133" s="7"/>
      <c r="BB133" s="7"/>
      <c r="BC133" s="7"/>
      <c r="BD133" s="7"/>
      <c r="BE133" s="7"/>
      <c r="BF133" s="7"/>
      <c r="BG133" s="7"/>
    </row>
    <row r="134" spans="1:59">
      <c r="A134" s="7"/>
      <c r="B134" s="37"/>
      <c r="C134" s="64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  <c r="AB134" s="7"/>
      <c r="AC134" s="7"/>
      <c r="AD134" s="7"/>
      <c r="AE134" s="7"/>
      <c r="AF134" s="7"/>
      <c r="AG134" s="7"/>
      <c r="AH134" s="7"/>
      <c r="AI134" s="7"/>
      <c r="AJ134" s="7"/>
      <c r="AK134" s="7"/>
      <c r="AL134" s="7"/>
      <c r="AM134" s="7"/>
      <c r="AN134" s="7"/>
      <c r="AO134" s="7"/>
      <c r="AP134" s="7"/>
      <c r="AQ134" s="7"/>
      <c r="AR134" s="7"/>
      <c r="AS134" s="7"/>
      <c r="AT134" s="7"/>
      <c r="AU134" s="7"/>
      <c r="AV134" s="7"/>
      <c r="AW134" s="7"/>
      <c r="AX134" s="7"/>
      <c r="AY134" s="7"/>
      <c r="AZ134" s="7"/>
      <c r="BA134" s="7"/>
      <c r="BB134" s="7"/>
      <c r="BC134" s="7"/>
      <c r="BD134" s="7"/>
      <c r="BE134" s="7"/>
      <c r="BF134" s="7"/>
      <c r="BG134" s="7"/>
    </row>
    <row r="135" spans="1:59">
      <c r="A135" s="7"/>
      <c r="B135" s="37"/>
      <c r="C135" s="64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  <c r="AB135" s="7"/>
      <c r="AC135" s="7"/>
      <c r="AD135" s="7"/>
      <c r="AE135" s="7"/>
      <c r="AF135" s="7"/>
      <c r="AG135" s="7"/>
      <c r="AH135" s="7"/>
      <c r="AI135" s="7"/>
      <c r="AJ135" s="7"/>
      <c r="AK135" s="7"/>
      <c r="AL135" s="7"/>
      <c r="AM135" s="7"/>
      <c r="AN135" s="7"/>
      <c r="AO135" s="7"/>
      <c r="AP135" s="7"/>
      <c r="AQ135" s="7"/>
      <c r="AR135" s="7"/>
      <c r="AS135" s="7"/>
      <c r="AT135" s="7"/>
      <c r="AU135" s="7"/>
      <c r="AV135" s="7"/>
      <c r="AW135" s="7"/>
      <c r="AX135" s="7"/>
      <c r="AY135" s="7"/>
      <c r="AZ135" s="7"/>
      <c r="BA135" s="7"/>
      <c r="BB135" s="7"/>
      <c r="BC135" s="7"/>
      <c r="BD135" s="7"/>
      <c r="BE135" s="7"/>
      <c r="BF135" s="7"/>
      <c r="BG135" s="7"/>
    </row>
    <row r="136" spans="1:59">
      <c r="A136" s="7"/>
      <c r="B136" s="37"/>
      <c r="C136" s="64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  <c r="AB136" s="7"/>
      <c r="AC136" s="7"/>
      <c r="AD136" s="7"/>
      <c r="AE136" s="7"/>
      <c r="AF136" s="7"/>
      <c r="AG136" s="7"/>
      <c r="AH136" s="7"/>
      <c r="AI136" s="7"/>
      <c r="AJ136" s="7"/>
      <c r="AK136" s="7"/>
      <c r="AL136" s="7"/>
      <c r="AM136" s="7"/>
      <c r="AN136" s="7"/>
      <c r="AO136" s="7"/>
      <c r="AP136" s="7"/>
      <c r="AQ136" s="7"/>
      <c r="AR136" s="7"/>
      <c r="AS136" s="7"/>
      <c r="AT136" s="7"/>
      <c r="AU136" s="7"/>
      <c r="AV136" s="7"/>
      <c r="AW136" s="7"/>
      <c r="AX136" s="7"/>
      <c r="AY136" s="7"/>
      <c r="AZ136" s="7"/>
      <c r="BA136" s="7"/>
      <c r="BB136" s="7"/>
      <c r="BC136" s="7"/>
      <c r="BD136" s="7"/>
      <c r="BE136" s="7"/>
      <c r="BF136" s="7"/>
      <c r="BG136" s="7"/>
    </row>
    <row r="137" spans="1:59">
      <c r="A137" s="7"/>
      <c r="B137" s="37"/>
      <c r="C137" s="64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  <c r="AB137" s="7"/>
      <c r="AC137" s="7"/>
      <c r="AD137" s="7"/>
      <c r="AE137" s="7"/>
      <c r="AF137" s="7"/>
      <c r="AG137" s="7"/>
      <c r="AH137" s="7"/>
      <c r="AI137" s="7"/>
      <c r="AJ137" s="7"/>
      <c r="AK137" s="7"/>
      <c r="AL137" s="7"/>
      <c r="AM137" s="7"/>
      <c r="AN137" s="7"/>
      <c r="AO137" s="7"/>
      <c r="AP137" s="7"/>
      <c r="AQ137" s="7"/>
      <c r="AR137" s="7"/>
      <c r="AS137" s="7"/>
      <c r="AT137" s="7"/>
      <c r="AU137" s="7"/>
      <c r="AV137" s="7"/>
      <c r="AW137" s="7"/>
      <c r="AX137" s="7"/>
      <c r="AY137" s="7"/>
      <c r="AZ137" s="7"/>
      <c r="BA137" s="7"/>
      <c r="BB137" s="7"/>
      <c r="BC137" s="7"/>
      <c r="BD137" s="7"/>
      <c r="BE137" s="7"/>
      <c r="BF137" s="7"/>
      <c r="BG137" s="7"/>
    </row>
    <row r="138" spans="1:59">
      <c r="A138" s="7"/>
      <c r="B138" s="37"/>
      <c r="C138" s="64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/>
      <c r="AD138" s="7"/>
      <c r="AE138" s="7"/>
      <c r="AF138" s="7"/>
      <c r="AG138" s="7"/>
      <c r="AH138" s="7"/>
      <c r="AI138" s="7"/>
      <c r="AJ138" s="7"/>
      <c r="AK138" s="7"/>
      <c r="AL138" s="7"/>
      <c r="AM138" s="7"/>
      <c r="AN138" s="7"/>
      <c r="AO138" s="7"/>
      <c r="AP138" s="7"/>
      <c r="AQ138" s="7"/>
      <c r="AR138" s="7"/>
      <c r="AS138" s="7"/>
      <c r="AT138" s="7"/>
      <c r="AU138" s="7"/>
      <c r="AV138" s="7"/>
      <c r="AW138" s="7"/>
      <c r="AX138" s="7"/>
      <c r="AY138" s="7"/>
      <c r="AZ138" s="7"/>
      <c r="BA138" s="7"/>
      <c r="BB138" s="7"/>
      <c r="BC138" s="7"/>
      <c r="BD138" s="7"/>
      <c r="BE138" s="7"/>
      <c r="BF138" s="7"/>
      <c r="BG138" s="7"/>
    </row>
    <row r="139" spans="1:59">
      <c r="A139" s="7"/>
      <c r="B139" s="37"/>
      <c r="C139" s="64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  <c r="AB139" s="7"/>
      <c r="AC139" s="7"/>
      <c r="AD139" s="7"/>
      <c r="AE139" s="7"/>
      <c r="AF139" s="7"/>
      <c r="AG139" s="7"/>
      <c r="AH139" s="7"/>
      <c r="AI139" s="7"/>
      <c r="AJ139" s="7"/>
      <c r="AK139" s="7"/>
      <c r="AL139" s="7"/>
      <c r="AM139" s="7"/>
      <c r="AN139" s="7"/>
      <c r="AO139" s="7"/>
      <c r="AP139" s="7"/>
      <c r="AQ139" s="7"/>
      <c r="AR139" s="7"/>
      <c r="AS139" s="7"/>
      <c r="AT139" s="7"/>
      <c r="AU139" s="7"/>
      <c r="AV139" s="7"/>
      <c r="AW139" s="7"/>
      <c r="AX139" s="7"/>
      <c r="AY139" s="7"/>
      <c r="AZ139" s="7"/>
      <c r="BA139" s="7"/>
      <c r="BB139" s="7"/>
      <c r="BC139" s="7"/>
      <c r="BD139" s="7"/>
      <c r="BE139" s="7"/>
      <c r="BF139" s="7"/>
      <c r="BG139" s="7"/>
    </row>
    <row r="140" spans="1:59">
      <c r="A140" s="7"/>
      <c r="B140" s="37"/>
      <c r="C140" s="64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  <c r="AB140" s="7"/>
      <c r="AC140" s="7"/>
      <c r="AD140" s="7"/>
      <c r="AE140" s="7"/>
      <c r="AF140" s="7"/>
      <c r="AG140" s="7"/>
      <c r="AH140" s="7"/>
      <c r="AI140" s="7"/>
      <c r="AJ140" s="7"/>
      <c r="AK140" s="7"/>
      <c r="AL140" s="7"/>
      <c r="AM140" s="7"/>
      <c r="AN140" s="7"/>
      <c r="AO140" s="7"/>
      <c r="AP140" s="7"/>
      <c r="AQ140" s="7"/>
      <c r="AR140" s="7"/>
      <c r="AS140" s="7"/>
      <c r="AT140" s="7"/>
      <c r="AU140" s="7"/>
      <c r="AV140" s="7"/>
      <c r="AW140" s="7"/>
      <c r="AX140" s="7"/>
      <c r="AY140" s="7"/>
      <c r="AZ140" s="7"/>
      <c r="BA140" s="7"/>
      <c r="BB140" s="7"/>
      <c r="BC140" s="7"/>
      <c r="BD140" s="7"/>
      <c r="BE140" s="7"/>
      <c r="BF140" s="7"/>
      <c r="BG140" s="7"/>
    </row>
    <row r="141" spans="1:59">
      <c r="A141" s="7"/>
      <c r="B141" s="37"/>
      <c r="C141" s="64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  <c r="AB141" s="7"/>
      <c r="AC141" s="7"/>
      <c r="AD141" s="7"/>
      <c r="AE141" s="7"/>
      <c r="AF141" s="7"/>
      <c r="AG141" s="7"/>
      <c r="AH141" s="7"/>
      <c r="AI141" s="7"/>
      <c r="AJ141" s="7"/>
      <c r="AK141" s="7"/>
      <c r="AL141" s="7"/>
      <c r="AM141" s="7"/>
      <c r="AN141" s="7"/>
      <c r="AO141" s="7"/>
      <c r="AP141" s="7"/>
      <c r="AQ141" s="7"/>
      <c r="AR141" s="7"/>
      <c r="AS141" s="7"/>
      <c r="AT141" s="7"/>
      <c r="AU141" s="7"/>
      <c r="AV141" s="7"/>
      <c r="AW141" s="7"/>
      <c r="AX141" s="7"/>
      <c r="AY141" s="7"/>
      <c r="AZ141" s="7"/>
      <c r="BA141" s="7"/>
      <c r="BB141" s="7"/>
      <c r="BC141" s="7"/>
      <c r="BD141" s="7"/>
      <c r="BE141" s="7"/>
      <c r="BF141" s="7"/>
      <c r="BG141" s="7"/>
    </row>
    <row r="142" spans="1:59">
      <c r="A142" s="7"/>
      <c r="B142" s="37"/>
      <c r="C142" s="64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  <c r="AA142" s="7"/>
      <c r="AB142" s="7"/>
      <c r="AC142" s="7"/>
      <c r="AD142" s="7"/>
      <c r="AE142" s="7"/>
      <c r="AF142" s="7"/>
      <c r="AG142" s="7"/>
      <c r="AH142" s="7"/>
      <c r="AI142" s="7"/>
      <c r="AJ142" s="7"/>
      <c r="AK142" s="7"/>
      <c r="AL142" s="7"/>
      <c r="AM142" s="7"/>
      <c r="AN142" s="7"/>
      <c r="AO142" s="7"/>
      <c r="AP142" s="7"/>
      <c r="AQ142" s="7"/>
      <c r="AR142" s="7"/>
      <c r="AS142" s="7"/>
      <c r="AT142" s="7"/>
      <c r="AU142" s="7"/>
      <c r="AV142" s="7"/>
      <c r="AW142" s="7"/>
      <c r="AX142" s="7"/>
      <c r="AY142" s="7"/>
      <c r="AZ142" s="7"/>
      <c r="BA142" s="7"/>
      <c r="BB142" s="7"/>
      <c r="BC142" s="7"/>
      <c r="BD142" s="7"/>
      <c r="BE142" s="7"/>
      <c r="BF142" s="7"/>
      <c r="BG142" s="7"/>
    </row>
    <row r="143" spans="1:59">
      <c r="A143" s="7"/>
      <c r="B143" s="37"/>
      <c r="C143" s="64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  <c r="AD143" s="7"/>
      <c r="AE143" s="7"/>
      <c r="AF143" s="7"/>
      <c r="AG143" s="7"/>
      <c r="AH143" s="7"/>
      <c r="AI143" s="7"/>
      <c r="AJ143" s="7"/>
      <c r="AK143" s="7"/>
      <c r="AL143" s="7"/>
      <c r="AM143" s="7"/>
      <c r="AN143" s="7"/>
      <c r="AO143" s="7"/>
      <c r="AP143" s="7"/>
      <c r="AQ143" s="7"/>
      <c r="AR143" s="7"/>
      <c r="AS143" s="7"/>
      <c r="AT143" s="7"/>
      <c r="AU143" s="7"/>
      <c r="AV143" s="7"/>
      <c r="AW143" s="7"/>
      <c r="AX143" s="7"/>
      <c r="AY143" s="7"/>
      <c r="AZ143" s="7"/>
      <c r="BA143" s="7"/>
      <c r="BB143" s="7"/>
      <c r="BC143" s="7"/>
      <c r="BD143" s="7"/>
      <c r="BE143" s="7"/>
      <c r="BF143" s="7"/>
      <c r="BG143" s="7"/>
    </row>
    <row r="144" spans="1:59">
      <c r="A144" s="7"/>
      <c r="B144" s="37"/>
      <c r="C144" s="64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  <c r="AB144" s="7"/>
      <c r="AC144" s="7"/>
      <c r="AD144" s="7"/>
      <c r="AE144" s="7"/>
      <c r="AF144" s="7"/>
      <c r="AG144" s="7"/>
      <c r="AH144" s="7"/>
      <c r="AI144" s="7"/>
      <c r="AJ144" s="7"/>
      <c r="AK144" s="7"/>
      <c r="AL144" s="7"/>
      <c r="AM144" s="7"/>
      <c r="AN144" s="7"/>
      <c r="AO144" s="7"/>
      <c r="AP144" s="7"/>
      <c r="AQ144" s="7"/>
      <c r="AR144" s="7"/>
      <c r="AS144" s="7"/>
      <c r="AT144" s="7"/>
      <c r="AU144" s="7"/>
      <c r="AV144" s="7"/>
      <c r="AW144" s="7"/>
      <c r="AX144" s="7"/>
      <c r="AY144" s="7"/>
      <c r="AZ144" s="7"/>
      <c r="BA144" s="7"/>
      <c r="BB144" s="7"/>
      <c r="BC144" s="7"/>
      <c r="BD144" s="7"/>
      <c r="BE144" s="7"/>
      <c r="BF144" s="7"/>
      <c r="BG144" s="7"/>
    </row>
    <row r="145" spans="1:59">
      <c r="A145" s="7"/>
      <c r="B145" s="37"/>
      <c r="C145" s="64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  <c r="AB145" s="7"/>
      <c r="AC145" s="7"/>
      <c r="AD145" s="7"/>
      <c r="AE145" s="7"/>
      <c r="AF145" s="7"/>
      <c r="AG145" s="7"/>
      <c r="AH145" s="7"/>
      <c r="AI145" s="7"/>
      <c r="AJ145" s="7"/>
      <c r="AK145" s="7"/>
      <c r="AL145" s="7"/>
      <c r="AM145" s="7"/>
      <c r="AN145" s="7"/>
      <c r="AO145" s="7"/>
      <c r="AP145" s="7"/>
      <c r="AQ145" s="7"/>
      <c r="AR145" s="7"/>
      <c r="AS145" s="7"/>
      <c r="AT145" s="7"/>
      <c r="AU145" s="7"/>
      <c r="AV145" s="7"/>
      <c r="AW145" s="7"/>
      <c r="AX145" s="7"/>
      <c r="AY145" s="7"/>
      <c r="AZ145" s="7"/>
      <c r="BA145" s="7"/>
      <c r="BB145" s="7"/>
      <c r="BC145" s="7"/>
      <c r="BD145" s="7"/>
      <c r="BE145" s="7"/>
      <c r="BF145" s="7"/>
      <c r="BG145" s="7"/>
    </row>
    <row r="146" spans="1:59">
      <c r="A146" s="7"/>
      <c r="B146" s="37"/>
      <c r="C146" s="64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  <c r="AB146" s="7"/>
      <c r="AC146" s="7"/>
      <c r="AD146" s="7"/>
      <c r="AE146" s="7"/>
      <c r="AF146" s="7"/>
      <c r="AG146" s="7"/>
      <c r="AH146" s="7"/>
      <c r="AI146" s="7"/>
      <c r="AJ146" s="7"/>
      <c r="AK146" s="7"/>
      <c r="AL146" s="7"/>
      <c r="AM146" s="7"/>
      <c r="AN146" s="7"/>
      <c r="AO146" s="7"/>
      <c r="AP146" s="7"/>
      <c r="AQ146" s="7"/>
      <c r="AR146" s="7"/>
      <c r="AS146" s="7"/>
      <c r="AT146" s="7"/>
      <c r="AU146" s="7"/>
      <c r="AV146" s="7"/>
      <c r="AW146" s="7"/>
      <c r="AX146" s="7"/>
      <c r="AY146" s="7"/>
      <c r="AZ146" s="7"/>
      <c r="BA146" s="7"/>
      <c r="BB146" s="7"/>
      <c r="BC146" s="7"/>
      <c r="BD146" s="7"/>
      <c r="BE146" s="7"/>
      <c r="BF146" s="7"/>
      <c r="BG146" s="7"/>
    </row>
    <row r="147" spans="1:59">
      <c r="A147" s="7"/>
      <c r="B147" s="37"/>
      <c r="C147" s="64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7"/>
      <c r="AB147" s="7"/>
      <c r="AC147" s="7"/>
      <c r="AD147" s="7"/>
      <c r="AE147" s="7"/>
      <c r="AF147" s="7"/>
      <c r="AG147" s="7"/>
      <c r="AH147" s="7"/>
      <c r="AI147" s="7"/>
      <c r="AJ147" s="7"/>
      <c r="AK147" s="7"/>
      <c r="AL147" s="7"/>
      <c r="AM147" s="7"/>
      <c r="AN147" s="7"/>
      <c r="AO147" s="7"/>
      <c r="AP147" s="7"/>
      <c r="AQ147" s="7"/>
      <c r="AR147" s="7"/>
      <c r="AS147" s="7"/>
      <c r="AT147" s="7"/>
      <c r="AU147" s="7"/>
      <c r="AV147" s="7"/>
      <c r="AW147" s="7"/>
      <c r="AX147" s="7"/>
      <c r="AY147" s="7"/>
      <c r="AZ147" s="7"/>
      <c r="BA147" s="7"/>
      <c r="BB147" s="7"/>
      <c r="BC147" s="7"/>
      <c r="BD147" s="7"/>
      <c r="BE147" s="7"/>
      <c r="BF147" s="7"/>
      <c r="BG147" s="7"/>
    </row>
    <row r="148" spans="1:59">
      <c r="A148" s="7"/>
      <c r="B148" s="37"/>
      <c r="C148" s="64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  <c r="AB148" s="7"/>
      <c r="AC148" s="7"/>
      <c r="AD148" s="7"/>
      <c r="AE148" s="7"/>
      <c r="AF148" s="7"/>
      <c r="AG148" s="7"/>
      <c r="AH148" s="7"/>
      <c r="AI148" s="7"/>
      <c r="AJ148" s="7"/>
      <c r="AK148" s="7"/>
      <c r="AL148" s="7"/>
      <c r="AM148" s="7"/>
      <c r="AN148" s="7"/>
      <c r="AO148" s="7"/>
      <c r="AP148" s="7"/>
      <c r="AQ148" s="7"/>
      <c r="AR148" s="7"/>
      <c r="AS148" s="7"/>
      <c r="AT148" s="7"/>
      <c r="AU148" s="7"/>
      <c r="AV148" s="7"/>
      <c r="AW148" s="7"/>
      <c r="AX148" s="7"/>
      <c r="AY148" s="7"/>
      <c r="AZ148" s="7"/>
      <c r="BA148" s="7"/>
      <c r="BB148" s="7"/>
      <c r="BC148" s="7"/>
      <c r="BD148" s="7"/>
      <c r="BE148" s="7"/>
      <c r="BF148" s="7"/>
      <c r="BG148" s="7"/>
    </row>
    <row r="149" spans="1:59">
      <c r="A149" s="7"/>
      <c r="B149" s="37"/>
      <c r="C149" s="64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  <c r="AB149" s="7"/>
      <c r="AC149" s="7"/>
      <c r="AD149" s="7"/>
      <c r="AE149" s="7"/>
      <c r="AF149" s="7"/>
      <c r="AG149" s="7"/>
      <c r="AH149" s="7"/>
      <c r="AI149" s="7"/>
      <c r="AJ149" s="7"/>
      <c r="AK149" s="7"/>
      <c r="AL149" s="7"/>
      <c r="AM149" s="7"/>
      <c r="AN149" s="7"/>
      <c r="AO149" s="7"/>
      <c r="AP149" s="7"/>
      <c r="AQ149" s="7"/>
      <c r="AR149" s="7"/>
      <c r="AS149" s="7"/>
      <c r="AT149" s="7"/>
      <c r="AU149" s="7"/>
      <c r="AV149" s="7"/>
      <c r="AW149" s="7"/>
      <c r="AX149" s="7"/>
      <c r="AY149" s="7"/>
      <c r="AZ149" s="7"/>
      <c r="BA149" s="7"/>
      <c r="BB149" s="7"/>
      <c r="BC149" s="7"/>
      <c r="BD149" s="7"/>
      <c r="BE149" s="7"/>
      <c r="BF149" s="7"/>
      <c r="BG149" s="7"/>
    </row>
    <row r="150" spans="1:59">
      <c r="A150" s="7"/>
      <c r="B150" s="37"/>
      <c r="C150" s="64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  <c r="AB150" s="7"/>
      <c r="AC150" s="7"/>
      <c r="AD150" s="7"/>
      <c r="AE150" s="7"/>
      <c r="AF150" s="7"/>
      <c r="AG150" s="7"/>
      <c r="AH150" s="7"/>
      <c r="AI150" s="7"/>
      <c r="AJ150" s="7"/>
      <c r="AK150" s="7"/>
      <c r="AL150" s="7"/>
      <c r="AM150" s="7"/>
      <c r="AN150" s="7"/>
      <c r="AO150" s="7"/>
      <c r="AP150" s="7"/>
      <c r="AQ150" s="7"/>
      <c r="AR150" s="7"/>
      <c r="AS150" s="7"/>
      <c r="AT150" s="7"/>
      <c r="AU150" s="7"/>
      <c r="AV150" s="7"/>
      <c r="AW150" s="7"/>
      <c r="AX150" s="7"/>
      <c r="AY150" s="7"/>
      <c r="AZ150" s="7"/>
      <c r="BA150" s="7"/>
      <c r="BB150" s="7"/>
      <c r="BC150" s="7"/>
      <c r="BD150" s="7"/>
      <c r="BE150" s="7"/>
      <c r="BF150" s="7"/>
      <c r="BG150" s="7"/>
    </row>
    <row r="151" spans="1:59">
      <c r="A151" s="7"/>
      <c r="B151" s="37"/>
      <c r="C151" s="64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  <c r="AB151" s="7"/>
      <c r="AC151" s="7"/>
      <c r="AD151" s="7"/>
      <c r="AE151" s="7"/>
      <c r="AF151" s="7"/>
      <c r="AG151" s="7"/>
      <c r="AH151" s="7"/>
      <c r="AI151" s="7"/>
      <c r="AJ151" s="7"/>
      <c r="AK151" s="7"/>
      <c r="AL151" s="7"/>
      <c r="AM151" s="7"/>
      <c r="AN151" s="7"/>
      <c r="AO151" s="7"/>
      <c r="AP151" s="7"/>
      <c r="AQ151" s="7"/>
      <c r="AR151" s="7"/>
      <c r="AS151" s="7"/>
      <c r="AT151" s="7"/>
      <c r="AU151" s="7"/>
      <c r="AV151" s="7"/>
      <c r="AW151" s="7"/>
      <c r="AX151" s="7"/>
      <c r="AY151" s="7"/>
      <c r="AZ151" s="7"/>
      <c r="BA151" s="7"/>
      <c r="BB151" s="7"/>
      <c r="BC151" s="7"/>
      <c r="BD151" s="7"/>
      <c r="BE151" s="7"/>
      <c r="BF151" s="7"/>
      <c r="BG151" s="7"/>
    </row>
    <row r="152" spans="1:59">
      <c r="A152" s="7"/>
      <c r="B152" s="37"/>
      <c r="C152" s="64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7"/>
      <c r="AB152" s="7"/>
      <c r="AC152" s="7"/>
      <c r="AD152" s="7"/>
      <c r="AE152" s="7"/>
      <c r="AF152" s="7"/>
      <c r="AG152" s="7"/>
      <c r="AH152" s="7"/>
      <c r="AI152" s="7"/>
      <c r="AJ152" s="7"/>
      <c r="AK152" s="7"/>
      <c r="AL152" s="7"/>
      <c r="AM152" s="7"/>
      <c r="AN152" s="7"/>
      <c r="AO152" s="7"/>
      <c r="AP152" s="7"/>
      <c r="AQ152" s="7"/>
      <c r="AR152" s="7"/>
      <c r="AS152" s="7"/>
      <c r="AT152" s="7"/>
      <c r="AU152" s="7"/>
      <c r="AV152" s="7"/>
      <c r="AW152" s="7"/>
      <c r="AX152" s="7"/>
      <c r="AY152" s="7"/>
      <c r="AZ152" s="7"/>
      <c r="BA152" s="7"/>
      <c r="BB152" s="7"/>
      <c r="BC152" s="7"/>
      <c r="BD152" s="7"/>
      <c r="BE152" s="7"/>
      <c r="BF152" s="7"/>
      <c r="BG152" s="7"/>
    </row>
    <row r="153" spans="1:59">
      <c r="A153" s="7"/>
      <c r="B153" s="37"/>
      <c r="C153" s="64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  <c r="AA153" s="7"/>
      <c r="AB153" s="7"/>
      <c r="AC153" s="7"/>
      <c r="AD153" s="7"/>
      <c r="AE153" s="7"/>
      <c r="AF153" s="7"/>
      <c r="AG153" s="7"/>
      <c r="AH153" s="7"/>
      <c r="AI153" s="7"/>
      <c r="AJ153" s="7"/>
      <c r="AK153" s="7"/>
      <c r="AL153" s="7"/>
      <c r="AM153" s="7"/>
      <c r="AN153" s="7"/>
      <c r="AO153" s="7"/>
      <c r="AP153" s="7"/>
      <c r="AQ153" s="7"/>
      <c r="AR153" s="7"/>
      <c r="AS153" s="7"/>
      <c r="AT153" s="7"/>
      <c r="AU153" s="7"/>
      <c r="AV153" s="7"/>
      <c r="AW153" s="7"/>
      <c r="AX153" s="7"/>
      <c r="AY153" s="7"/>
      <c r="AZ153" s="7"/>
      <c r="BA153" s="7"/>
      <c r="BB153" s="7"/>
      <c r="BC153" s="7"/>
      <c r="BD153" s="7"/>
      <c r="BE153" s="7"/>
      <c r="BF153" s="7"/>
      <c r="BG153" s="7"/>
    </row>
    <row r="154" spans="1:59">
      <c r="A154" s="7"/>
      <c r="B154" s="37"/>
      <c r="C154" s="64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  <c r="AA154" s="7"/>
      <c r="AB154" s="7"/>
      <c r="AC154" s="7"/>
      <c r="AD154" s="7"/>
      <c r="AE154" s="7"/>
      <c r="AF154" s="7"/>
      <c r="AG154" s="7"/>
      <c r="AH154" s="7"/>
      <c r="AI154" s="7"/>
      <c r="AJ154" s="7"/>
      <c r="AK154" s="7"/>
      <c r="AL154" s="7"/>
      <c r="AM154" s="7"/>
      <c r="AN154" s="7"/>
      <c r="AO154" s="7"/>
      <c r="AP154" s="7"/>
      <c r="AQ154" s="7"/>
      <c r="AR154" s="7"/>
      <c r="AS154" s="7"/>
      <c r="AT154" s="7"/>
      <c r="AU154" s="7"/>
      <c r="AV154" s="7"/>
      <c r="AW154" s="7"/>
      <c r="AX154" s="7"/>
      <c r="AY154" s="7"/>
      <c r="AZ154" s="7"/>
      <c r="BA154" s="7"/>
      <c r="BB154" s="7"/>
      <c r="BC154" s="7"/>
      <c r="BD154" s="7"/>
      <c r="BE154" s="7"/>
      <c r="BF154" s="7"/>
      <c r="BG154" s="7"/>
    </row>
    <row r="155" spans="1:59">
      <c r="A155" s="7"/>
      <c r="B155" s="37"/>
      <c r="C155" s="64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/>
      <c r="AB155" s="7"/>
      <c r="AC155" s="7"/>
      <c r="AD155" s="7"/>
      <c r="AE155" s="7"/>
      <c r="AF155" s="7"/>
      <c r="AG155" s="7"/>
      <c r="AH155" s="7"/>
      <c r="AI155" s="7"/>
      <c r="AJ155" s="7"/>
      <c r="AK155" s="7"/>
      <c r="AL155" s="7"/>
      <c r="AM155" s="7"/>
      <c r="AN155" s="7"/>
      <c r="AO155" s="7"/>
      <c r="AP155" s="7"/>
      <c r="AQ155" s="7"/>
      <c r="AR155" s="7"/>
      <c r="AS155" s="7"/>
      <c r="AT155" s="7"/>
      <c r="AU155" s="7"/>
      <c r="AV155" s="7"/>
      <c r="AW155" s="7"/>
      <c r="AX155" s="7"/>
      <c r="AY155" s="7"/>
      <c r="AZ155" s="7"/>
      <c r="BA155" s="7"/>
      <c r="BB155" s="7"/>
      <c r="BC155" s="7"/>
      <c r="BD155" s="7"/>
      <c r="BE155" s="7"/>
      <c r="BF155" s="7"/>
      <c r="BG155" s="7"/>
    </row>
    <row r="156" spans="1:59">
      <c r="A156" s="7"/>
      <c r="B156" s="37"/>
      <c r="C156" s="64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  <c r="AD156" s="7"/>
      <c r="AE156" s="7"/>
      <c r="AF156" s="7"/>
      <c r="AG156" s="7"/>
      <c r="AH156" s="7"/>
      <c r="AI156" s="7"/>
      <c r="AJ156" s="7"/>
      <c r="AK156" s="7"/>
      <c r="AL156" s="7"/>
      <c r="AM156" s="7"/>
      <c r="AN156" s="7"/>
      <c r="AO156" s="7"/>
      <c r="AP156" s="7"/>
      <c r="AQ156" s="7"/>
      <c r="AR156" s="7"/>
      <c r="AS156" s="7"/>
      <c r="AT156" s="7"/>
      <c r="AU156" s="7"/>
      <c r="AV156" s="7"/>
      <c r="AW156" s="7"/>
      <c r="AX156" s="7"/>
      <c r="AY156" s="7"/>
      <c r="AZ156" s="7"/>
      <c r="BA156" s="7"/>
      <c r="BB156" s="7"/>
      <c r="BC156" s="7"/>
      <c r="BD156" s="7"/>
      <c r="BE156" s="7"/>
      <c r="BF156" s="7"/>
      <c r="BG156" s="7"/>
    </row>
    <row r="157" spans="1:59">
      <c r="A157" s="7"/>
      <c r="B157" s="37"/>
      <c r="C157" s="64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  <c r="AA157" s="7"/>
      <c r="AB157" s="7"/>
      <c r="AC157" s="7"/>
      <c r="AD157" s="7"/>
      <c r="AE157" s="7"/>
      <c r="AF157" s="7"/>
      <c r="AG157" s="7"/>
      <c r="AH157" s="7"/>
      <c r="AI157" s="7"/>
      <c r="AJ157" s="7"/>
      <c r="AK157" s="7"/>
      <c r="AL157" s="7"/>
      <c r="AM157" s="7"/>
      <c r="AN157" s="7"/>
      <c r="AO157" s="7"/>
      <c r="AP157" s="7"/>
      <c r="AQ157" s="7"/>
      <c r="AR157" s="7"/>
      <c r="AS157" s="7"/>
      <c r="AT157" s="7"/>
      <c r="AU157" s="7"/>
      <c r="AV157" s="7"/>
      <c r="AW157" s="7"/>
      <c r="AX157" s="7"/>
      <c r="AY157" s="7"/>
      <c r="AZ157" s="7"/>
      <c r="BA157" s="7"/>
      <c r="BB157" s="7"/>
      <c r="BC157" s="7"/>
      <c r="BD157" s="7"/>
      <c r="BE157" s="7"/>
      <c r="BF157" s="7"/>
      <c r="BG157" s="7"/>
    </row>
    <row r="158" spans="1:59">
      <c r="A158" s="7"/>
      <c r="B158" s="37"/>
      <c r="C158" s="64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  <c r="AB158" s="7"/>
      <c r="AC158" s="7"/>
      <c r="AD158" s="7"/>
      <c r="AE158" s="7"/>
      <c r="AF158" s="7"/>
      <c r="AG158" s="7"/>
      <c r="AH158" s="7"/>
      <c r="AI158" s="7"/>
      <c r="AJ158" s="7"/>
      <c r="AK158" s="7"/>
      <c r="AL158" s="7"/>
      <c r="AM158" s="7"/>
      <c r="AN158" s="7"/>
      <c r="AO158" s="7"/>
      <c r="AP158" s="7"/>
      <c r="AQ158" s="7"/>
      <c r="AR158" s="7"/>
      <c r="AS158" s="7"/>
      <c r="AT158" s="7"/>
      <c r="AU158" s="7"/>
      <c r="AV158" s="7"/>
      <c r="AW158" s="7"/>
      <c r="AX158" s="7"/>
      <c r="AY158" s="7"/>
      <c r="AZ158" s="7"/>
      <c r="BA158" s="7"/>
      <c r="BB158" s="7"/>
      <c r="BC158" s="7"/>
      <c r="BD158" s="7"/>
      <c r="BE158" s="7"/>
      <c r="BF158" s="7"/>
      <c r="BG158" s="7"/>
    </row>
    <row r="159" spans="1:59">
      <c r="A159" s="7"/>
      <c r="B159" s="37"/>
      <c r="C159" s="64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  <c r="AB159" s="7"/>
      <c r="AC159" s="7"/>
      <c r="AD159" s="7"/>
      <c r="AE159" s="7"/>
      <c r="AF159" s="7"/>
      <c r="AG159" s="7"/>
      <c r="AH159" s="7"/>
      <c r="AI159" s="7"/>
      <c r="AJ159" s="7"/>
      <c r="AK159" s="7"/>
      <c r="AL159" s="7"/>
      <c r="AM159" s="7"/>
      <c r="AN159" s="7"/>
      <c r="AO159" s="7"/>
      <c r="AP159" s="7"/>
      <c r="AQ159" s="7"/>
      <c r="AR159" s="7"/>
      <c r="AS159" s="7"/>
      <c r="AT159" s="7"/>
      <c r="AU159" s="7"/>
      <c r="AV159" s="7"/>
      <c r="AW159" s="7"/>
      <c r="AX159" s="7"/>
      <c r="AY159" s="7"/>
      <c r="AZ159" s="7"/>
      <c r="BA159" s="7"/>
      <c r="BB159" s="7"/>
      <c r="BC159" s="7"/>
      <c r="BD159" s="7"/>
      <c r="BE159" s="7"/>
      <c r="BF159" s="7"/>
      <c r="BG159" s="7"/>
    </row>
    <row r="160" spans="1:59">
      <c r="A160" s="7"/>
      <c r="B160" s="37"/>
      <c r="C160" s="64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7"/>
      <c r="AD160" s="7"/>
      <c r="AE160" s="7"/>
      <c r="AF160" s="7"/>
      <c r="AG160" s="7"/>
      <c r="AH160" s="7"/>
      <c r="AI160" s="7"/>
      <c r="AJ160" s="7"/>
      <c r="AK160" s="7"/>
      <c r="AL160" s="7"/>
      <c r="AM160" s="7"/>
      <c r="AN160" s="7"/>
      <c r="AO160" s="7"/>
      <c r="AP160" s="7"/>
      <c r="AQ160" s="7"/>
      <c r="AR160" s="7"/>
      <c r="AS160" s="7"/>
      <c r="AT160" s="7"/>
      <c r="AU160" s="7"/>
      <c r="AV160" s="7"/>
      <c r="AW160" s="7"/>
      <c r="AX160" s="7"/>
      <c r="AY160" s="7"/>
      <c r="AZ160" s="7"/>
      <c r="BA160" s="7"/>
      <c r="BB160" s="7"/>
      <c r="BC160" s="7"/>
      <c r="BD160" s="7"/>
      <c r="BE160" s="7"/>
      <c r="BF160" s="7"/>
      <c r="BG160" s="7"/>
    </row>
    <row r="161" spans="1:59">
      <c r="A161" s="7"/>
      <c r="B161" s="37"/>
      <c r="C161" s="64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7"/>
      <c r="AH161" s="7"/>
      <c r="AI161" s="7"/>
      <c r="AJ161" s="7"/>
      <c r="AK161" s="7"/>
      <c r="AL161" s="7"/>
      <c r="AM161" s="7"/>
      <c r="AN161" s="7"/>
      <c r="AO161" s="7"/>
      <c r="AP161" s="7"/>
      <c r="AQ161" s="7"/>
      <c r="AR161" s="7"/>
      <c r="AS161" s="7"/>
      <c r="AT161" s="7"/>
      <c r="AU161" s="7"/>
      <c r="AV161" s="7"/>
      <c r="AW161" s="7"/>
      <c r="AX161" s="7"/>
      <c r="AY161" s="7"/>
      <c r="AZ161" s="7"/>
      <c r="BA161" s="7"/>
      <c r="BB161" s="7"/>
      <c r="BC161" s="7"/>
      <c r="BD161" s="7"/>
      <c r="BE161" s="7"/>
      <c r="BF161" s="7"/>
      <c r="BG161" s="7"/>
    </row>
    <row r="162" spans="1:59">
      <c r="A162" s="7"/>
      <c r="B162" s="37"/>
      <c r="C162" s="64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7"/>
      <c r="AB162" s="7"/>
      <c r="AC162" s="7"/>
      <c r="AD162" s="7"/>
      <c r="AE162" s="7"/>
      <c r="AF162" s="7"/>
      <c r="AG162" s="7"/>
      <c r="AH162" s="7"/>
      <c r="AI162" s="7"/>
      <c r="AJ162" s="7"/>
      <c r="AK162" s="7"/>
      <c r="AL162" s="7"/>
      <c r="AM162" s="7"/>
      <c r="AN162" s="7"/>
      <c r="AO162" s="7"/>
      <c r="AP162" s="7"/>
      <c r="AQ162" s="7"/>
      <c r="AR162" s="7"/>
      <c r="AS162" s="7"/>
      <c r="AT162" s="7"/>
      <c r="AU162" s="7"/>
      <c r="AV162" s="7"/>
      <c r="AW162" s="7"/>
      <c r="AX162" s="7"/>
      <c r="AY162" s="7"/>
      <c r="AZ162" s="7"/>
      <c r="BA162" s="7"/>
      <c r="BB162" s="7"/>
      <c r="BC162" s="7"/>
      <c r="BD162" s="7"/>
      <c r="BE162" s="7"/>
      <c r="BF162" s="7"/>
      <c r="BG162" s="7"/>
    </row>
    <row r="163" spans="1:59">
      <c r="A163" s="7"/>
      <c r="B163" s="37"/>
      <c r="C163" s="64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7"/>
      <c r="AG163" s="7"/>
      <c r="AH163" s="7"/>
      <c r="AI163" s="7"/>
      <c r="AJ163" s="7"/>
      <c r="AK163" s="7"/>
      <c r="AL163" s="7"/>
      <c r="AM163" s="7"/>
      <c r="AN163" s="7"/>
      <c r="AO163" s="7"/>
      <c r="AP163" s="7"/>
      <c r="AQ163" s="7"/>
      <c r="AR163" s="7"/>
      <c r="AS163" s="7"/>
      <c r="AT163" s="7"/>
      <c r="AU163" s="7"/>
      <c r="AV163" s="7"/>
      <c r="AW163" s="7"/>
      <c r="AX163" s="7"/>
      <c r="AY163" s="7"/>
      <c r="AZ163" s="7"/>
      <c r="BA163" s="7"/>
      <c r="BB163" s="7"/>
      <c r="BC163" s="7"/>
      <c r="BD163" s="7"/>
      <c r="BE163" s="7"/>
      <c r="BF163" s="7"/>
      <c r="BG163" s="7"/>
    </row>
    <row r="164" spans="1:59">
      <c r="A164" s="7"/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  <c r="AB164" s="7"/>
      <c r="AC164" s="7"/>
      <c r="AD164" s="7"/>
      <c r="AE164" s="7"/>
      <c r="AF164" s="7"/>
      <c r="AG164" s="7"/>
      <c r="AH164" s="7"/>
      <c r="AI164" s="7"/>
      <c r="AJ164" s="7"/>
      <c r="AK164" s="7"/>
      <c r="AL164" s="7"/>
      <c r="AM164" s="7"/>
      <c r="AN164" s="7"/>
      <c r="AO164" s="7"/>
      <c r="AP164" s="7"/>
      <c r="AQ164" s="7"/>
      <c r="AR164" s="7"/>
      <c r="AS164" s="7"/>
      <c r="AT164" s="7"/>
      <c r="AU164" s="7"/>
      <c r="AV164" s="7"/>
      <c r="AW164" s="7"/>
      <c r="AX164" s="7"/>
      <c r="AY164" s="7"/>
      <c r="AZ164" s="7"/>
      <c r="BA164" s="7"/>
      <c r="BB164" s="7"/>
      <c r="BC164" s="7"/>
      <c r="BD164" s="7"/>
      <c r="BE164" s="7"/>
      <c r="BF164" s="7"/>
      <c r="BG164" s="7"/>
    </row>
    <row r="165" spans="1:59">
      <c r="A165" s="6"/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  <c r="AD165" s="7"/>
      <c r="AE165" s="7"/>
      <c r="AF165" s="7"/>
      <c r="AG165" s="7"/>
      <c r="AH165" s="7"/>
      <c r="AI165" s="7"/>
      <c r="AJ165" s="7"/>
      <c r="AK165" s="7"/>
      <c r="AL165" s="7"/>
      <c r="AM165" s="7"/>
      <c r="AN165" s="7"/>
      <c r="AO165" s="7"/>
      <c r="AP165" s="7"/>
      <c r="AQ165" s="7"/>
      <c r="AR165" s="7"/>
      <c r="AS165" s="7"/>
      <c r="AT165" s="7"/>
      <c r="AU165" s="7"/>
      <c r="AV165" s="7"/>
      <c r="AW165" s="7"/>
      <c r="AX165" s="7"/>
      <c r="AY165" s="7"/>
      <c r="AZ165" s="7"/>
      <c r="BA165" s="7"/>
      <c r="BB165" s="7"/>
      <c r="BC165" s="7"/>
      <c r="BD165" s="7"/>
      <c r="BE165" s="7"/>
      <c r="BF165" s="7"/>
      <c r="BG165" s="7"/>
    </row>
    <row r="166" spans="1:59">
      <c r="A166" s="7"/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7"/>
      <c r="AD166" s="7"/>
      <c r="AE166" s="7"/>
      <c r="AF166" s="7"/>
      <c r="AG166" s="7"/>
      <c r="AH166" s="7"/>
      <c r="AI166" s="7"/>
      <c r="AJ166" s="7"/>
      <c r="AK166" s="7"/>
      <c r="AL166" s="7"/>
      <c r="AM166" s="7"/>
      <c r="AN166" s="7"/>
      <c r="AO166" s="7"/>
      <c r="AP166" s="7"/>
      <c r="AQ166" s="7"/>
      <c r="AR166" s="7"/>
      <c r="AS166" s="7"/>
      <c r="AT166" s="7"/>
      <c r="AU166" s="7"/>
      <c r="AV166" s="7"/>
      <c r="AW166" s="7"/>
      <c r="AX166" s="7"/>
      <c r="AY166" s="7"/>
      <c r="AZ166" s="7"/>
      <c r="BA166" s="7"/>
      <c r="BB166" s="7"/>
      <c r="BC166" s="7"/>
      <c r="BD166" s="7"/>
      <c r="BE166" s="7"/>
      <c r="BF166" s="7"/>
      <c r="BG166" s="7"/>
    </row>
    <row r="167" spans="1:59">
      <c r="A167" s="17"/>
      <c r="B167" s="17"/>
      <c r="C167" s="17"/>
      <c r="D167" s="17"/>
      <c r="E167" s="17"/>
      <c r="F167" s="17"/>
      <c r="G167" s="17"/>
      <c r="H167" s="17"/>
      <c r="I167" s="17"/>
      <c r="J167" s="17"/>
      <c r="K167" s="17"/>
      <c r="L167" s="1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  <c r="AA167" s="7"/>
      <c r="AB167" s="7"/>
      <c r="AC167" s="7"/>
      <c r="AD167" s="7"/>
      <c r="AE167" s="7"/>
      <c r="AF167" s="7"/>
      <c r="AG167" s="7"/>
      <c r="AH167" s="7"/>
      <c r="AI167" s="7"/>
      <c r="AJ167" s="7"/>
      <c r="AK167" s="7"/>
      <c r="AL167" s="7"/>
      <c r="AM167" s="7"/>
      <c r="AN167" s="7"/>
      <c r="AO167" s="7"/>
      <c r="AP167" s="7"/>
      <c r="AQ167" s="7"/>
      <c r="AR167" s="7"/>
      <c r="AS167" s="7"/>
      <c r="AT167" s="7"/>
      <c r="AU167" s="7"/>
      <c r="AV167" s="7"/>
      <c r="AW167" s="7"/>
      <c r="AX167" s="7"/>
      <c r="AY167" s="7"/>
      <c r="AZ167" s="7"/>
      <c r="BA167" s="7"/>
      <c r="BB167" s="7"/>
      <c r="BC167" s="7"/>
      <c r="BD167" s="7"/>
      <c r="BE167" s="7"/>
      <c r="BF167" s="7"/>
      <c r="BG167" s="7"/>
    </row>
    <row r="168" spans="1:59">
      <c r="A168" s="44"/>
      <c r="B168" s="44"/>
      <c r="C168" s="44"/>
      <c r="D168" s="44"/>
      <c r="E168" s="44"/>
      <c r="F168" s="44"/>
      <c r="G168" s="44"/>
      <c r="H168" s="44"/>
      <c r="I168" s="44"/>
      <c r="J168" s="17"/>
      <c r="K168" s="17"/>
      <c r="L168" s="1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  <c r="AA168" s="7"/>
      <c r="AB168" s="7"/>
      <c r="AC168" s="7"/>
      <c r="AD168" s="7"/>
      <c r="AE168" s="7"/>
      <c r="AF168" s="7"/>
      <c r="AG168" s="7"/>
      <c r="AH168" s="7"/>
      <c r="AI168" s="7"/>
      <c r="AJ168" s="7"/>
      <c r="AK168" s="7"/>
      <c r="AL168" s="7"/>
      <c r="AM168" s="7"/>
      <c r="AN168" s="7"/>
      <c r="AO168" s="7"/>
      <c r="AP168" s="7"/>
      <c r="AQ168" s="7"/>
      <c r="AR168" s="7"/>
      <c r="AS168" s="7"/>
      <c r="AT168" s="7"/>
      <c r="AU168" s="7"/>
      <c r="AV168" s="7"/>
      <c r="AW168" s="7"/>
      <c r="AX168" s="7"/>
      <c r="AY168" s="7"/>
      <c r="AZ168" s="7"/>
      <c r="BA168" s="7"/>
      <c r="BB168" s="7"/>
      <c r="BC168" s="7"/>
      <c r="BD168" s="7"/>
      <c r="BE168" s="7"/>
      <c r="BF168" s="7"/>
      <c r="BG168" s="7"/>
    </row>
    <row r="169" spans="1:59">
      <c r="A169" s="44"/>
      <c r="B169" s="44"/>
      <c r="C169" s="44"/>
      <c r="D169" s="44"/>
      <c r="E169" s="44"/>
      <c r="F169" s="44"/>
      <c r="G169" s="44"/>
      <c r="H169" s="44"/>
      <c r="I169" s="44"/>
      <c r="J169" s="17"/>
      <c r="K169" s="17"/>
      <c r="L169" s="1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  <c r="AC169" s="7"/>
      <c r="AD169" s="7"/>
      <c r="AE169" s="7"/>
      <c r="AF169" s="7"/>
      <c r="AG169" s="7"/>
      <c r="AH169" s="7"/>
      <c r="AI169" s="7"/>
      <c r="AJ169" s="7"/>
      <c r="AK169" s="7"/>
      <c r="AL169" s="7"/>
      <c r="AM169" s="7"/>
      <c r="AN169" s="7"/>
      <c r="AO169" s="7"/>
      <c r="AP169" s="7"/>
      <c r="AQ169" s="7"/>
      <c r="AR169" s="7"/>
      <c r="AS169" s="7"/>
      <c r="AT169" s="7"/>
      <c r="AU169" s="7"/>
      <c r="AV169" s="7"/>
      <c r="AW169" s="7"/>
      <c r="AX169" s="7"/>
      <c r="AY169" s="7"/>
      <c r="AZ169" s="7"/>
      <c r="BA169" s="7"/>
      <c r="BB169" s="7"/>
      <c r="BC169" s="7"/>
      <c r="BD169" s="7"/>
      <c r="BE169" s="7"/>
      <c r="BF169" s="7"/>
      <c r="BG169" s="7"/>
    </row>
    <row r="170" spans="1:59">
      <c r="A170" s="44"/>
      <c r="B170" s="17"/>
      <c r="C170" s="17"/>
      <c r="D170" s="17"/>
      <c r="E170" s="17"/>
      <c r="F170" s="17"/>
      <c r="G170" s="17"/>
      <c r="H170" s="17"/>
      <c r="I170" s="17"/>
      <c r="J170" s="17"/>
      <c r="K170" s="17"/>
      <c r="L170" s="1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  <c r="AA170" s="7"/>
      <c r="AB170" s="7"/>
      <c r="AC170" s="7"/>
      <c r="AD170" s="7"/>
      <c r="AE170" s="7"/>
      <c r="AF170" s="7"/>
      <c r="AG170" s="7"/>
      <c r="AH170" s="7"/>
      <c r="AI170" s="7"/>
      <c r="AJ170" s="7"/>
      <c r="AK170" s="7"/>
      <c r="AL170" s="7"/>
      <c r="AM170" s="7"/>
      <c r="AN170" s="7"/>
      <c r="AO170" s="7"/>
      <c r="AP170" s="7"/>
      <c r="AQ170" s="7"/>
      <c r="AR170" s="7"/>
      <c r="AS170" s="7"/>
      <c r="AT170" s="7"/>
      <c r="AU170" s="7"/>
      <c r="AV170" s="7"/>
      <c r="AW170" s="7"/>
      <c r="AX170" s="7"/>
      <c r="AY170" s="7"/>
      <c r="AZ170" s="7"/>
      <c r="BA170" s="7"/>
      <c r="BB170" s="7"/>
      <c r="BC170" s="7"/>
      <c r="BD170" s="7"/>
      <c r="BE170" s="7"/>
      <c r="BF170" s="7"/>
      <c r="BG170" s="7"/>
    </row>
    <row r="171" spans="1:59">
      <c r="A171" s="44"/>
      <c r="B171" s="17"/>
      <c r="C171" s="17"/>
      <c r="D171" s="17"/>
      <c r="E171" s="17"/>
      <c r="F171" s="17"/>
      <c r="G171" s="17"/>
      <c r="H171" s="17"/>
      <c r="I171" s="17"/>
      <c r="J171" s="17"/>
      <c r="K171" s="17"/>
      <c r="L171" s="1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  <c r="AA171" s="7"/>
      <c r="AB171" s="7"/>
      <c r="AC171" s="7"/>
      <c r="AD171" s="7"/>
      <c r="AE171" s="7"/>
      <c r="AF171" s="7"/>
      <c r="AG171" s="7"/>
      <c r="AH171" s="7"/>
      <c r="AI171" s="7"/>
      <c r="AJ171" s="7"/>
      <c r="AK171" s="7"/>
      <c r="AL171" s="7"/>
      <c r="AM171" s="7"/>
      <c r="AN171" s="7"/>
      <c r="AO171" s="7"/>
      <c r="AP171" s="7"/>
      <c r="AQ171" s="7"/>
      <c r="AR171" s="7"/>
      <c r="AS171" s="7"/>
      <c r="AT171" s="7"/>
      <c r="AU171" s="7"/>
      <c r="AV171" s="7"/>
      <c r="AW171" s="7"/>
      <c r="AX171" s="7"/>
      <c r="AY171" s="7"/>
      <c r="AZ171" s="7"/>
      <c r="BA171" s="7"/>
      <c r="BB171" s="7"/>
      <c r="BC171" s="7"/>
      <c r="BD171" s="7"/>
      <c r="BE171" s="7"/>
      <c r="BF171" s="7"/>
      <c r="BG171" s="7"/>
    </row>
    <row r="172" spans="1:59">
      <c r="A172" s="44"/>
      <c r="B172" s="17"/>
      <c r="C172" s="17"/>
      <c r="D172" s="17"/>
      <c r="E172" s="17"/>
      <c r="F172" s="17"/>
      <c r="G172" s="17"/>
      <c r="H172" s="17"/>
      <c r="I172" s="17"/>
      <c r="J172" s="17"/>
      <c r="K172" s="17"/>
      <c r="L172" s="1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/>
      <c r="AC172" s="7"/>
      <c r="AD172" s="7"/>
      <c r="AE172" s="7"/>
      <c r="AF172" s="7"/>
      <c r="AG172" s="7"/>
      <c r="AH172" s="7"/>
      <c r="AI172" s="7"/>
      <c r="AJ172" s="7"/>
      <c r="AK172" s="7"/>
      <c r="AL172" s="7"/>
      <c r="AM172" s="7"/>
      <c r="AN172" s="7"/>
      <c r="AO172" s="7"/>
      <c r="AP172" s="7"/>
      <c r="AQ172" s="7"/>
      <c r="AR172" s="7"/>
      <c r="AS172" s="7"/>
      <c r="AT172" s="7"/>
      <c r="AU172" s="7"/>
      <c r="AV172" s="7"/>
      <c r="AW172" s="7"/>
      <c r="AX172" s="7"/>
      <c r="AY172" s="7"/>
      <c r="AZ172" s="7"/>
      <c r="BA172" s="7"/>
      <c r="BB172" s="7"/>
      <c r="BC172" s="7"/>
      <c r="BD172" s="7"/>
      <c r="BE172" s="7"/>
      <c r="BF172" s="7"/>
      <c r="BG172" s="7"/>
    </row>
    <row r="173" spans="1:59">
      <c r="A173" s="44"/>
      <c r="B173" s="17"/>
      <c r="C173" s="17"/>
      <c r="D173" s="17"/>
      <c r="E173" s="17"/>
      <c r="F173" s="17"/>
      <c r="G173" s="17"/>
      <c r="H173" s="17"/>
      <c r="I173" s="17"/>
      <c r="J173" s="17"/>
      <c r="K173" s="17"/>
      <c r="L173" s="1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  <c r="AA173" s="7"/>
      <c r="AB173" s="7"/>
      <c r="AC173" s="7"/>
      <c r="AD173" s="7"/>
      <c r="AE173" s="7"/>
      <c r="AF173" s="7"/>
      <c r="AG173" s="7"/>
      <c r="AH173" s="7"/>
      <c r="AI173" s="7"/>
      <c r="AJ173" s="7"/>
      <c r="AK173" s="7"/>
      <c r="AL173" s="7"/>
      <c r="AM173" s="7"/>
      <c r="AN173" s="7"/>
      <c r="AO173" s="7"/>
      <c r="AP173" s="7"/>
      <c r="AQ173" s="7"/>
      <c r="AR173" s="7"/>
      <c r="AS173" s="7"/>
      <c r="AT173" s="7"/>
      <c r="AU173" s="7"/>
      <c r="AV173" s="7"/>
      <c r="AW173" s="7"/>
      <c r="AX173" s="7"/>
      <c r="AY173" s="7"/>
      <c r="AZ173" s="7"/>
      <c r="BA173" s="7"/>
      <c r="BB173" s="7"/>
      <c r="BC173" s="7"/>
      <c r="BD173" s="7"/>
      <c r="BE173" s="7"/>
      <c r="BF173" s="7"/>
      <c r="BG173" s="7"/>
    </row>
    <row r="174" spans="1:59">
      <c r="A174" s="44"/>
      <c r="B174" s="17"/>
      <c r="C174" s="17"/>
      <c r="D174" s="17"/>
      <c r="E174" s="17"/>
      <c r="F174" s="17"/>
      <c r="G174" s="17"/>
      <c r="H174" s="17"/>
      <c r="I174" s="17"/>
      <c r="J174" s="17"/>
      <c r="K174" s="17"/>
      <c r="L174" s="1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  <c r="AC174" s="7"/>
      <c r="AD174" s="7"/>
      <c r="AE174" s="7"/>
      <c r="AF174" s="7"/>
      <c r="AG174" s="7"/>
      <c r="AH174" s="7"/>
      <c r="AI174" s="7"/>
      <c r="AJ174" s="7"/>
      <c r="AK174" s="7"/>
      <c r="AL174" s="7"/>
      <c r="AM174" s="7"/>
      <c r="AN174" s="7"/>
      <c r="AO174" s="7"/>
      <c r="AP174" s="7"/>
      <c r="AQ174" s="7"/>
      <c r="AR174" s="7"/>
      <c r="AS174" s="7"/>
      <c r="AT174" s="7"/>
      <c r="AU174" s="7"/>
      <c r="AV174" s="7"/>
      <c r="AW174" s="7"/>
      <c r="AX174" s="7"/>
      <c r="AY174" s="7"/>
      <c r="AZ174" s="7"/>
      <c r="BA174" s="7"/>
      <c r="BB174" s="7"/>
      <c r="BC174" s="7"/>
      <c r="BD174" s="7"/>
      <c r="BE174" s="7"/>
      <c r="BF174" s="7"/>
      <c r="BG174" s="7"/>
    </row>
    <row r="175" spans="1:59">
      <c r="A175" s="44"/>
      <c r="B175" s="17"/>
      <c r="C175" s="17"/>
      <c r="D175" s="17"/>
      <c r="E175" s="17"/>
      <c r="F175" s="17"/>
      <c r="G175" s="17"/>
      <c r="H175" s="17"/>
      <c r="I175" s="17"/>
      <c r="J175" s="17"/>
      <c r="K175" s="17"/>
      <c r="L175" s="1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  <c r="AB175" s="7"/>
      <c r="AC175" s="7"/>
      <c r="AD175" s="7"/>
      <c r="AE175" s="7"/>
      <c r="AF175" s="7"/>
      <c r="AG175" s="7"/>
      <c r="AH175" s="7"/>
      <c r="AI175" s="7"/>
      <c r="AJ175" s="7"/>
      <c r="AK175" s="7"/>
      <c r="AL175" s="7"/>
      <c r="AM175" s="7"/>
      <c r="AN175" s="7"/>
      <c r="AO175" s="7"/>
      <c r="AP175" s="7"/>
      <c r="AQ175" s="7"/>
      <c r="AR175" s="7"/>
      <c r="AS175" s="7"/>
      <c r="AT175" s="7"/>
      <c r="AU175" s="7"/>
      <c r="AV175" s="7"/>
      <c r="AW175" s="7"/>
      <c r="AX175" s="7"/>
      <c r="AY175" s="7"/>
      <c r="AZ175" s="7"/>
      <c r="BA175" s="7"/>
      <c r="BB175" s="7"/>
      <c r="BC175" s="7"/>
      <c r="BD175" s="7"/>
      <c r="BE175" s="7"/>
      <c r="BF175" s="7"/>
      <c r="BG175" s="7"/>
    </row>
    <row r="176" spans="1:59">
      <c r="A176" s="44"/>
      <c r="B176" s="17"/>
      <c r="C176" s="17"/>
      <c r="D176" s="17"/>
      <c r="E176" s="17"/>
      <c r="F176" s="17"/>
      <c r="G176" s="17"/>
      <c r="H176" s="17"/>
      <c r="I176" s="17"/>
      <c r="J176" s="17"/>
      <c r="K176" s="17"/>
      <c r="L176" s="1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  <c r="AA176" s="7"/>
      <c r="AB176" s="7"/>
      <c r="AC176" s="7"/>
      <c r="AD176" s="7"/>
      <c r="AE176" s="7"/>
      <c r="AF176" s="7"/>
      <c r="AG176" s="7"/>
      <c r="AH176" s="7"/>
      <c r="AI176" s="7"/>
      <c r="AJ176" s="7"/>
      <c r="AK176" s="7"/>
      <c r="AL176" s="7"/>
      <c r="AM176" s="7"/>
      <c r="AN176" s="7"/>
      <c r="AO176" s="7"/>
      <c r="AP176" s="7"/>
      <c r="AQ176" s="7"/>
      <c r="AR176" s="7"/>
      <c r="AS176" s="7"/>
      <c r="AT176" s="7"/>
      <c r="AU176" s="7"/>
      <c r="AV176" s="7"/>
      <c r="AW176" s="7"/>
      <c r="AX176" s="7"/>
      <c r="AY176" s="7"/>
      <c r="AZ176" s="7"/>
      <c r="BA176" s="7"/>
      <c r="BB176" s="7"/>
      <c r="BC176" s="7"/>
      <c r="BD176" s="7"/>
      <c r="BE176" s="7"/>
      <c r="BF176" s="7"/>
      <c r="BG176" s="7"/>
    </row>
    <row r="177" spans="1:59">
      <c r="A177" s="17"/>
      <c r="B177" s="17"/>
      <c r="C177" s="17"/>
      <c r="D177" s="17"/>
      <c r="E177" s="17"/>
      <c r="F177" s="17"/>
      <c r="G177" s="17"/>
      <c r="H177" s="17"/>
      <c r="I177" s="17"/>
      <c r="J177" s="17"/>
      <c r="K177" s="17"/>
      <c r="L177" s="1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  <c r="AA177" s="7"/>
      <c r="AB177" s="7"/>
      <c r="AC177" s="7"/>
      <c r="AD177" s="7"/>
      <c r="AE177" s="7"/>
      <c r="AF177" s="7"/>
      <c r="AG177" s="7"/>
      <c r="AH177" s="7"/>
      <c r="AI177" s="7"/>
      <c r="AJ177" s="7"/>
      <c r="AK177" s="7"/>
      <c r="AL177" s="7"/>
      <c r="AM177" s="7"/>
      <c r="AN177" s="7"/>
      <c r="AO177" s="7"/>
      <c r="AP177" s="7"/>
      <c r="AQ177" s="7"/>
      <c r="AR177" s="7"/>
      <c r="AS177" s="7"/>
      <c r="AT177" s="7"/>
      <c r="AU177" s="7"/>
      <c r="AV177" s="7"/>
      <c r="AW177" s="7"/>
      <c r="AX177" s="7"/>
      <c r="AY177" s="7"/>
      <c r="AZ177" s="7"/>
      <c r="BA177" s="7"/>
      <c r="BB177" s="7"/>
      <c r="BC177" s="7"/>
      <c r="BD177" s="7"/>
      <c r="BE177" s="7"/>
      <c r="BF177" s="7"/>
      <c r="BG177" s="7"/>
    </row>
    <row r="178" spans="1:59">
      <c r="A178" s="17"/>
      <c r="B178" s="17"/>
      <c r="C178" s="211"/>
      <c r="D178" s="17" t="s">
        <v>2</v>
      </c>
      <c r="E178" s="17"/>
      <c r="F178" s="17"/>
      <c r="G178" s="17"/>
      <c r="H178" s="17"/>
      <c r="I178" s="17"/>
      <c r="J178" s="17"/>
      <c r="K178" s="17"/>
      <c r="L178" s="1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  <c r="AC178" s="7"/>
      <c r="AD178" s="7"/>
      <c r="AE178" s="7"/>
      <c r="AF178" s="7"/>
      <c r="AG178" s="7"/>
      <c r="AH178" s="7"/>
      <c r="AI178" s="7"/>
      <c r="AJ178" s="7"/>
      <c r="AK178" s="7"/>
      <c r="AL178" s="7"/>
      <c r="AM178" s="7"/>
      <c r="AN178" s="7"/>
      <c r="AO178" s="7"/>
      <c r="AP178" s="7"/>
      <c r="AQ178" s="7"/>
      <c r="AR178" s="7"/>
      <c r="AS178" s="7"/>
      <c r="AT178" s="7"/>
      <c r="AU178" s="7"/>
      <c r="AV178" s="7"/>
      <c r="AW178" s="7"/>
      <c r="AX178" s="7"/>
      <c r="AY178" s="7"/>
      <c r="AZ178" s="7"/>
      <c r="BA178" s="7"/>
      <c r="BB178" s="7"/>
      <c r="BC178" s="7"/>
      <c r="BD178" s="7"/>
      <c r="BE178" s="7"/>
      <c r="BF178" s="7"/>
      <c r="BG178" s="7"/>
    </row>
    <row r="179" spans="1:59">
      <c r="A179" s="17"/>
      <c r="B179" s="17" t="s">
        <v>2</v>
      </c>
      <c r="C179" s="211"/>
      <c r="D179" s="17" t="s">
        <v>2</v>
      </c>
      <c r="E179" s="17"/>
      <c r="F179" s="17"/>
      <c r="G179" s="17"/>
      <c r="H179" s="17"/>
      <c r="I179" s="17"/>
      <c r="J179" s="17"/>
      <c r="K179" s="17"/>
      <c r="L179" s="1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  <c r="AA179" s="7"/>
      <c r="AB179" s="7"/>
      <c r="AC179" s="7"/>
      <c r="AD179" s="7"/>
      <c r="AE179" s="7"/>
      <c r="AF179" s="7"/>
      <c r="AG179" s="7"/>
      <c r="AH179" s="7"/>
      <c r="AI179" s="7"/>
      <c r="AJ179" s="7"/>
      <c r="AK179" s="7"/>
      <c r="AL179" s="7"/>
      <c r="AM179" s="7"/>
      <c r="AN179" s="7"/>
      <c r="AO179" s="7"/>
      <c r="AP179" s="7"/>
      <c r="AQ179" s="7"/>
      <c r="AR179" s="7"/>
      <c r="AS179" s="7"/>
      <c r="AT179" s="7"/>
      <c r="AU179" s="7"/>
      <c r="AV179" s="7"/>
      <c r="AW179" s="7"/>
      <c r="AX179" s="7"/>
      <c r="AY179" s="7"/>
      <c r="AZ179" s="7"/>
      <c r="BA179" s="7"/>
      <c r="BB179" s="7"/>
      <c r="BC179" s="7"/>
      <c r="BD179" s="7"/>
      <c r="BE179" s="7"/>
      <c r="BF179" s="7"/>
      <c r="BG179" s="7"/>
    </row>
    <row r="180" spans="1:59">
      <c r="A180" s="212"/>
      <c r="B180" s="178"/>
      <c r="C180" s="178"/>
      <c r="D180" s="178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  <c r="AC180" s="7"/>
      <c r="AD180" s="7"/>
      <c r="AE180" s="7"/>
      <c r="AF180" s="7"/>
      <c r="AG180" s="7"/>
      <c r="AH180" s="7"/>
      <c r="AI180" s="7"/>
      <c r="AJ180" s="7"/>
      <c r="AK180" s="7"/>
      <c r="AL180" s="7"/>
      <c r="AM180" s="7"/>
      <c r="AN180" s="7"/>
      <c r="AO180" s="7"/>
      <c r="AP180" s="7"/>
      <c r="AQ180" s="7"/>
      <c r="AR180" s="7"/>
      <c r="AS180" s="7"/>
      <c r="AT180" s="7"/>
      <c r="AU180" s="7"/>
      <c r="AV180" s="7"/>
      <c r="AW180" s="7"/>
      <c r="AX180" s="7"/>
      <c r="AY180" s="7"/>
      <c r="AZ180" s="7"/>
      <c r="BA180" s="7"/>
      <c r="BB180" s="7"/>
      <c r="BC180" s="7"/>
      <c r="BD180" s="7"/>
      <c r="BE180" s="7"/>
      <c r="BF180" s="7"/>
      <c r="BG180" s="7"/>
    </row>
    <row r="181" spans="1:59">
      <c r="A181" s="171"/>
      <c r="B181" s="178"/>
      <c r="C181" s="213"/>
      <c r="D181" s="213"/>
      <c r="E181" s="1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  <c r="AA181" s="7"/>
      <c r="AB181" s="7"/>
      <c r="AC181" s="7"/>
      <c r="AD181" s="7"/>
      <c r="AE181" s="7"/>
      <c r="AF181" s="7"/>
      <c r="AG181" s="7"/>
      <c r="AH181" s="7"/>
      <c r="AI181" s="7"/>
      <c r="AJ181" s="7"/>
      <c r="AK181" s="7"/>
      <c r="AL181" s="7"/>
      <c r="AM181" s="7"/>
      <c r="AN181" s="7"/>
      <c r="AO181" s="7"/>
      <c r="AP181" s="7"/>
      <c r="AQ181" s="7"/>
      <c r="AR181" s="7"/>
      <c r="AS181" s="7"/>
      <c r="AT181" s="7"/>
      <c r="AU181" s="7"/>
      <c r="AV181" s="7"/>
      <c r="AW181" s="7"/>
      <c r="AX181" s="7"/>
      <c r="AY181" s="7"/>
      <c r="AZ181" s="7"/>
      <c r="BA181" s="7"/>
      <c r="BB181" s="7"/>
      <c r="BC181" s="7"/>
      <c r="BD181" s="7"/>
      <c r="BE181" s="7"/>
      <c r="BF181" s="7"/>
      <c r="BG181" s="7"/>
    </row>
    <row r="182" spans="1:59">
      <c r="A182" s="44"/>
      <c r="B182" s="178"/>
      <c r="C182" s="17"/>
      <c r="D182" s="17"/>
      <c r="E182" s="1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  <c r="AA182" s="7"/>
      <c r="AB182" s="7"/>
      <c r="AC182" s="7"/>
      <c r="AD182" s="7"/>
      <c r="AE182" s="7"/>
      <c r="AF182" s="7"/>
      <c r="AG182" s="7"/>
      <c r="AH182" s="7"/>
      <c r="AI182" s="7"/>
      <c r="AJ182" s="7"/>
      <c r="AK182" s="7"/>
      <c r="AL182" s="7"/>
      <c r="AM182" s="7"/>
      <c r="AN182" s="7"/>
      <c r="AO182" s="7"/>
      <c r="AP182" s="7"/>
      <c r="AQ182" s="7"/>
      <c r="AR182" s="7"/>
      <c r="AS182" s="7"/>
      <c r="AT182" s="7"/>
      <c r="AU182" s="7"/>
      <c r="AV182" s="7"/>
      <c r="AW182" s="7"/>
      <c r="AX182" s="7"/>
      <c r="AY182" s="7"/>
      <c r="AZ182" s="7"/>
      <c r="BA182" s="7"/>
      <c r="BB182" s="7"/>
      <c r="BC182" s="7"/>
      <c r="BD182" s="7"/>
      <c r="BE182" s="7"/>
      <c r="BF182" s="7"/>
      <c r="BG182" s="7"/>
    </row>
    <row r="183" spans="1:59">
      <c r="A183" s="76"/>
      <c r="B183" s="178"/>
      <c r="C183" s="17"/>
      <c r="D183" s="17"/>
      <c r="E183" s="1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  <c r="AA183" s="7"/>
      <c r="AB183" s="7"/>
      <c r="AC183" s="7"/>
      <c r="AD183" s="7"/>
      <c r="AE183" s="7"/>
      <c r="AF183" s="7"/>
      <c r="AG183" s="7"/>
      <c r="AH183" s="7"/>
      <c r="AI183" s="7"/>
      <c r="AJ183" s="7"/>
      <c r="AK183" s="7"/>
      <c r="AL183" s="7"/>
      <c r="AM183" s="7"/>
      <c r="AN183" s="7"/>
      <c r="AO183" s="7"/>
      <c r="AP183" s="7"/>
      <c r="AQ183" s="7"/>
      <c r="AR183" s="7"/>
      <c r="AS183" s="7"/>
      <c r="AT183" s="7"/>
      <c r="AU183" s="7"/>
      <c r="AV183" s="7"/>
      <c r="AW183" s="7"/>
      <c r="AX183" s="7"/>
      <c r="AY183" s="7"/>
      <c r="AZ183" s="7"/>
      <c r="BA183" s="7"/>
      <c r="BB183" s="7"/>
      <c r="BC183" s="7"/>
      <c r="BD183" s="7"/>
      <c r="BE183" s="7"/>
      <c r="BF183" s="7"/>
      <c r="BG183" s="7"/>
    </row>
    <row r="184" spans="1:59">
      <c r="A184" s="17"/>
      <c r="B184" s="178"/>
      <c r="C184" s="17"/>
      <c r="D184" s="17"/>
      <c r="E184" s="1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7"/>
      <c r="AC184" s="7"/>
      <c r="AD184" s="7"/>
      <c r="AE184" s="7"/>
      <c r="AF184" s="7"/>
      <c r="AG184" s="7"/>
      <c r="AH184" s="7"/>
      <c r="AI184" s="7"/>
      <c r="AJ184" s="7"/>
      <c r="AK184" s="7"/>
      <c r="AL184" s="7"/>
      <c r="AM184" s="7"/>
      <c r="AN184" s="7"/>
      <c r="AO184" s="7"/>
      <c r="AP184" s="7"/>
      <c r="AQ184" s="7"/>
      <c r="AR184" s="7"/>
      <c r="AS184" s="7"/>
      <c r="AT184" s="7"/>
      <c r="AU184" s="7"/>
      <c r="AV184" s="7"/>
      <c r="AW184" s="7"/>
      <c r="AX184" s="7"/>
      <c r="AY184" s="7"/>
      <c r="AZ184" s="7"/>
      <c r="BA184" s="7"/>
      <c r="BB184" s="7"/>
      <c r="BC184" s="7"/>
      <c r="BD184" s="7"/>
      <c r="BE184" s="7"/>
      <c r="BF184" s="7"/>
      <c r="BG184" s="7"/>
    </row>
    <row r="185" spans="1:59">
      <c r="A185" s="17"/>
      <c r="B185" s="178"/>
      <c r="C185" s="17"/>
      <c r="D185" s="17"/>
      <c r="E185" s="1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  <c r="AA185" s="7"/>
      <c r="AB185" s="7"/>
      <c r="AC185" s="7"/>
      <c r="AD185" s="7"/>
      <c r="AE185" s="7"/>
      <c r="AF185" s="7"/>
      <c r="AG185" s="7"/>
      <c r="AH185" s="7"/>
      <c r="AI185" s="7"/>
      <c r="AJ185" s="7"/>
      <c r="AK185" s="7"/>
      <c r="AL185" s="7"/>
      <c r="AM185" s="7"/>
      <c r="AN185" s="7"/>
      <c r="AO185" s="7"/>
      <c r="AP185" s="7"/>
      <c r="AQ185" s="7"/>
      <c r="AR185" s="7"/>
      <c r="AS185" s="7"/>
      <c r="AT185" s="7"/>
      <c r="AU185" s="7"/>
      <c r="AV185" s="7"/>
      <c r="AW185" s="7"/>
      <c r="AX185" s="7"/>
      <c r="AY185" s="7"/>
      <c r="AZ185" s="7"/>
      <c r="BA185" s="7"/>
      <c r="BB185" s="7"/>
      <c r="BC185" s="7"/>
      <c r="BD185" s="7"/>
      <c r="BE185" s="7"/>
      <c r="BF185" s="7"/>
      <c r="BG185" s="7"/>
    </row>
    <row r="186" spans="1:59">
      <c r="A186" s="44"/>
      <c r="B186" s="178"/>
      <c r="C186" s="17"/>
      <c r="D186" s="17"/>
      <c r="E186" s="1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  <c r="AA186" s="7"/>
      <c r="AB186" s="7"/>
      <c r="AC186" s="7"/>
      <c r="AD186" s="7"/>
      <c r="AE186" s="7"/>
      <c r="AF186" s="7"/>
      <c r="AG186" s="7"/>
      <c r="AH186" s="7"/>
      <c r="AI186" s="7"/>
      <c r="AJ186" s="7"/>
      <c r="AK186" s="7"/>
      <c r="AL186" s="7"/>
      <c r="AM186" s="7"/>
      <c r="AN186" s="7"/>
      <c r="AO186" s="7"/>
      <c r="AP186" s="7"/>
      <c r="AQ186" s="7"/>
      <c r="AR186" s="7"/>
      <c r="AS186" s="7"/>
      <c r="AT186" s="7"/>
      <c r="AU186" s="7"/>
      <c r="AV186" s="7"/>
      <c r="AW186" s="7"/>
      <c r="AX186" s="7"/>
      <c r="AY186" s="7"/>
      <c r="AZ186" s="7"/>
      <c r="BA186" s="7"/>
      <c r="BB186" s="7"/>
      <c r="BC186" s="7"/>
      <c r="BD186" s="7"/>
      <c r="BE186" s="7"/>
      <c r="BF186" s="7"/>
      <c r="BG186" s="7"/>
    </row>
    <row r="187" spans="1:59">
      <c r="A187" s="17"/>
      <c r="B187" s="178"/>
      <c r="C187" s="35"/>
      <c r="D187" s="17"/>
      <c r="E187" s="1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  <c r="AA187" s="7"/>
      <c r="AB187" s="7"/>
      <c r="AC187" s="7"/>
      <c r="AD187" s="7"/>
      <c r="AE187" s="7"/>
      <c r="AF187" s="7"/>
      <c r="AG187" s="7"/>
      <c r="AH187" s="7"/>
      <c r="AI187" s="7"/>
      <c r="AJ187" s="7"/>
      <c r="AK187" s="7"/>
      <c r="AL187" s="7"/>
      <c r="AM187" s="7"/>
      <c r="AN187" s="7"/>
      <c r="AO187" s="7"/>
      <c r="AP187" s="7"/>
      <c r="AQ187" s="7"/>
      <c r="AR187" s="7"/>
      <c r="AS187" s="7"/>
      <c r="AT187" s="7"/>
      <c r="AU187" s="7"/>
      <c r="AV187" s="7"/>
      <c r="AW187" s="7"/>
      <c r="AX187" s="7"/>
      <c r="AY187" s="7"/>
      <c r="AZ187" s="7"/>
      <c r="BA187" s="7"/>
      <c r="BB187" s="7"/>
      <c r="BC187" s="7"/>
      <c r="BD187" s="7"/>
      <c r="BE187" s="7"/>
      <c r="BF187" s="7"/>
      <c r="BG187" s="7"/>
    </row>
    <row r="188" spans="1:59">
      <c r="A188" s="17"/>
      <c r="B188" s="178"/>
      <c r="C188" s="17"/>
      <c r="D188" s="17"/>
      <c r="E188" s="1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  <c r="AA188" s="7"/>
      <c r="AB188" s="7"/>
      <c r="AC188" s="7"/>
      <c r="AD188" s="7"/>
      <c r="AE188" s="7"/>
      <c r="AF188" s="7"/>
      <c r="AG188" s="7"/>
      <c r="AH188" s="7"/>
      <c r="AI188" s="7"/>
      <c r="AJ188" s="7"/>
      <c r="AK188" s="7"/>
      <c r="AL188" s="7"/>
      <c r="AM188" s="7"/>
      <c r="AN188" s="7"/>
      <c r="AO188" s="7"/>
      <c r="AP188" s="7"/>
      <c r="AQ188" s="7"/>
      <c r="AR188" s="7"/>
      <c r="AS188" s="7"/>
      <c r="AT188" s="7"/>
      <c r="AU188" s="7"/>
      <c r="AV188" s="7"/>
      <c r="AW188" s="7"/>
      <c r="AX188" s="7"/>
      <c r="AY188" s="7"/>
      <c r="AZ188" s="7"/>
      <c r="BA188" s="7"/>
      <c r="BB188" s="7"/>
      <c r="BC188" s="7"/>
      <c r="BD188" s="7"/>
      <c r="BE188" s="7"/>
      <c r="BF188" s="7"/>
      <c r="BG188" s="7"/>
    </row>
    <row r="189" spans="1:59">
      <c r="A189" s="44" t="s">
        <v>388</v>
      </c>
      <c r="B189" s="178"/>
      <c r="C189" s="17"/>
      <c r="D189" s="17"/>
      <c r="E189" s="1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  <c r="AA189" s="7"/>
      <c r="AB189" s="7"/>
      <c r="AC189" s="7"/>
      <c r="AD189" s="7"/>
      <c r="AE189" s="7"/>
      <c r="AF189" s="7"/>
      <c r="AG189" s="7"/>
      <c r="AH189" s="7"/>
      <c r="AI189" s="7"/>
      <c r="AJ189" s="7"/>
      <c r="AK189" s="7"/>
      <c r="AL189" s="7"/>
      <c r="AM189" s="7"/>
      <c r="AN189" s="7"/>
      <c r="AO189" s="7"/>
      <c r="AP189" s="7"/>
      <c r="AQ189" s="7"/>
      <c r="AR189" s="7"/>
      <c r="AS189" s="7"/>
      <c r="AT189" s="7"/>
      <c r="AU189" s="7"/>
      <c r="AV189" s="7"/>
      <c r="AW189" s="7"/>
      <c r="AX189" s="7"/>
      <c r="AY189" s="7"/>
      <c r="AZ189" s="7"/>
      <c r="BA189" s="7"/>
      <c r="BB189" s="7"/>
      <c r="BC189" s="7"/>
      <c r="BD189" s="7"/>
      <c r="BE189" s="7"/>
      <c r="BF189" s="7"/>
      <c r="BG189" s="7"/>
    </row>
    <row r="190" spans="1:59" ht="13.5" thickBot="1">
      <c r="A190" s="17"/>
      <c r="B190" s="178"/>
      <c r="C190" s="17"/>
      <c r="D190" s="17"/>
      <c r="E190" s="1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  <c r="AA190" s="7"/>
      <c r="AB190" s="7"/>
      <c r="AC190" s="7"/>
      <c r="AD190" s="7"/>
      <c r="AE190" s="7"/>
      <c r="AF190" s="7"/>
      <c r="AG190" s="7"/>
      <c r="AH190" s="7"/>
      <c r="AI190" s="7"/>
      <c r="AJ190" s="7"/>
      <c r="AK190" s="7"/>
      <c r="AL190" s="7"/>
      <c r="AM190" s="7"/>
      <c r="AN190" s="7"/>
      <c r="AO190" s="7"/>
      <c r="AP190" s="7"/>
      <c r="AQ190" s="7"/>
      <c r="AR190" s="7"/>
      <c r="AS190" s="7"/>
      <c r="AT190" s="7"/>
      <c r="AU190" s="7"/>
      <c r="AV190" s="7"/>
      <c r="AW190" s="7"/>
      <c r="AX190" s="7"/>
      <c r="AY190" s="7"/>
      <c r="AZ190" s="7"/>
      <c r="BA190" s="7"/>
      <c r="BB190" s="7"/>
      <c r="BC190" s="7"/>
      <c r="BD190" s="7"/>
      <c r="BE190" s="7"/>
      <c r="BF190" s="7"/>
      <c r="BG190" s="7"/>
    </row>
    <row r="191" spans="1:59">
      <c r="A191" s="68" t="s">
        <v>32</v>
      </c>
      <c r="B191" s="214"/>
      <c r="C191" s="215" t="s">
        <v>31</v>
      </c>
      <c r="D191" s="216" t="s">
        <v>12</v>
      </c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  <c r="AC191" s="7"/>
      <c r="AD191" s="7"/>
      <c r="AE191" s="7"/>
      <c r="AF191" s="7"/>
      <c r="AG191" s="7"/>
      <c r="AH191" s="7"/>
      <c r="AI191" s="7"/>
      <c r="AJ191" s="7"/>
      <c r="AK191" s="7"/>
      <c r="AL191" s="7"/>
      <c r="AM191" s="7"/>
      <c r="AN191" s="7"/>
      <c r="AO191" s="7"/>
      <c r="AP191" s="7"/>
      <c r="AQ191" s="7"/>
      <c r="AR191" s="7"/>
      <c r="AS191" s="7"/>
      <c r="AT191" s="7"/>
      <c r="AU191" s="7"/>
      <c r="AV191" s="7"/>
      <c r="AW191" s="7"/>
      <c r="AX191" s="7"/>
      <c r="AY191" s="7"/>
      <c r="AZ191" s="7"/>
      <c r="BA191" s="7"/>
      <c r="BB191" s="7"/>
      <c r="BC191" s="7"/>
      <c r="BD191" s="7"/>
      <c r="BE191" s="7"/>
      <c r="BF191" s="7"/>
      <c r="BG191" s="7"/>
    </row>
    <row r="192" spans="1:59" ht="13.5" thickBot="1">
      <c r="A192" s="31"/>
      <c r="B192" s="217"/>
      <c r="C192" s="47"/>
      <c r="D192" s="218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  <c r="AA192" s="7"/>
      <c r="AB192" s="7"/>
      <c r="AC192" s="7"/>
      <c r="AD192" s="7"/>
      <c r="AE192" s="7"/>
      <c r="AF192" s="7"/>
      <c r="AG192" s="7"/>
      <c r="AH192" s="7"/>
      <c r="AI192" s="7"/>
      <c r="AJ192" s="7"/>
      <c r="AK192" s="7"/>
      <c r="AL192" s="7"/>
      <c r="AM192" s="7"/>
      <c r="AN192" s="7"/>
      <c r="AO192" s="7"/>
      <c r="AP192" s="7"/>
      <c r="AQ192" s="7"/>
      <c r="AR192" s="7"/>
      <c r="AS192" s="7"/>
      <c r="AT192" s="7"/>
      <c r="AU192" s="7"/>
      <c r="AV192" s="7"/>
      <c r="AW192" s="7"/>
      <c r="AX192" s="7"/>
      <c r="AY192" s="7"/>
      <c r="AZ192" s="7"/>
      <c r="BA192" s="7"/>
      <c r="BB192" s="7"/>
      <c r="BC192" s="7"/>
      <c r="BD192" s="7"/>
      <c r="BE192" s="7"/>
      <c r="BF192" s="7"/>
      <c r="BG192" s="7"/>
    </row>
    <row r="193" spans="1:59">
      <c r="A193" s="16" t="s">
        <v>44</v>
      </c>
      <c r="B193" s="178"/>
      <c r="C193" s="136" t="s">
        <v>45</v>
      </c>
      <c r="D193" s="66"/>
      <c r="E193" s="7" t="s">
        <v>2</v>
      </c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  <c r="AA193" s="7"/>
      <c r="AB193" s="7"/>
      <c r="AC193" s="7"/>
      <c r="AD193" s="7"/>
      <c r="AE193" s="7"/>
      <c r="AF193" s="7"/>
      <c r="AG193" s="7"/>
      <c r="AH193" s="7"/>
      <c r="AI193" s="7"/>
      <c r="AJ193" s="7"/>
      <c r="AK193" s="7"/>
      <c r="AL193" s="7"/>
      <c r="AM193" s="7"/>
      <c r="AN193" s="7"/>
      <c r="AO193" s="7"/>
      <c r="AP193" s="7"/>
      <c r="AQ193" s="7"/>
      <c r="AR193" s="7"/>
      <c r="AS193" s="7"/>
      <c r="AT193" s="7"/>
      <c r="AU193" s="7"/>
      <c r="AV193" s="7"/>
      <c r="AW193" s="7"/>
      <c r="AX193" s="7"/>
      <c r="AY193" s="7"/>
      <c r="AZ193" s="7"/>
      <c r="BA193" s="7"/>
      <c r="BB193" s="7"/>
      <c r="BC193" s="7"/>
      <c r="BD193" s="7"/>
      <c r="BE193" s="7"/>
      <c r="BF193" s="7"/>
      <c r="BG193" s="7"/>
    </row>
    <row r="194" spans="1:59">
      <c r="A194" s="11" t="s">
        <v>33</v>
      </c>
      <c r="B194" s="178"/>
      <c r="C194" s="135">
        <f>0.3/0.44</f>
        <v>0.68181818181818177</v>
      </c>
      <c r="D194" s="66" t="s">
        <v>38</v>
      </c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  <c r="AC194" s="7"/>
      <c r="AD194" s="7"/>
      <c r="AE194" s="7"/>
      <c r="AF194" s="7"/>
      <c r="AG194" s="7"/>
      <c r="AH194" s="7"/>
      <c r="AI194" s="7"/>
      <c r="AJ194" s="7"/>
      <c r="AK194" s="7"/>
      <c r="AL194" s="7"/>
      <c r="AM194" s="7"/>
      <c r="AN194" s="7"/>
      <c r="AO194" s="7"/>
      <c r="AP194" s="7"/>
      <c r="AQ194" s="7"/>
      <c r="AR194" s="7"/>
      <c r="AS194" s="7"/>
      <c r="AT194" s="7"/>
      <c r="AU194" s="7"/>
      <c r="AV194" s="7"/>
      <c r="AW194" s="7"/>
      <c r="AX194" s="7"/>
      <c r="AY194" s="7"/>
      <c r="AZ194" s="7"/>
      <c r="BA194" s="7"/>
      <c r="BB194" s="7"/>
      <c r="BC194" s="7"/>
      <c r="BD194" s="7"/>
      <c r="BE194" s="7"/>
      <c r="BF194" s="7"/>
      <c r="BG194" s="7"/>
    </row>
    <row r="195" spans="1:59">
      <c r="A195" s="11" t="s">
        <v>34</v>
      </c>
      <c r="B195" s="178"/>
      <c r="C195" s="135">
        <f>0.05/0.044</f>
        <v>1.1363636363636365</v>
      </c>
      <c r="D195" s="66" t="s">
        <v>39</v>
      </c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  <c r="AA195" s="7"/>
      <c r="AB195" s="7"/>
      <c r="AC195" s="7"/>
      <c r="AD195" s="7"/>
      <c r="AE195" s="7"/>
      <c r="AF195" s="7"/>
      <c r="AG195" s="7"/>
      <c r="AH195" s="7"/>
      <c r="AI195" s="7"/>
      <c r="AJ195" s="7"/>
      <c r="AK195" s="7"/>
      <c r="AL195" s="7"/>
      <c r="AM195" s="7"/>
      <c r="AN195" s="7"/>
      <c r="AO195" s="7"/>
      <c r="AP195" s="7"/>
      <c r="AQ195" s="7"/>
      <c r="AR195" s="7"/>
      <c r="AS195" s="7"/>
      <c r="AT195" s="7"/>
      <c r="AU195" s="7"/>
      <c r="AV195" s="7"/>
      <c r="AW195" s="7"/>
      <c r="AX195" s="7"/>
      <c r="AY195" s="7"/>
      <c r="AZ195" s="7"/>
      <c r="BA195" s="7"/>
      <c r="BB195" s="7"/>
      <c r="BC195" s="7"/>
      <c r="BD195" s="7"/>
      <c r="BE195" s="7"/>
      <c r="BF195" s="7"/>
      <c r="BG195" s="7"/>
    </row>
    <row r="196" spans="1:59">
      <c r="A196" s="11" t="s">
        <v>35</v>
      </c>
      <c r="B196" s="178"/>
      <c r="C196" s="135">
        <f>0.075/0.044</f>
        <v>1.7045454545454546</v>
      </c>
      <c r="D196" s="66" t="s">
        <v>2</v>
      </c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  <c r="AC196" s="7"/>
      <c r="AD196" s="7"/>
      <c r="AE196" s="7"/>
      <c r="AF196" s="7"/>
      <c r="AG196" s="7"/>
      <c r="AH196" s="7"/>
      <c r="AI196" s="7"/>
      <c r="AJ196" s="7"/>
      <c r="AK196" s="7"/>
      <c r="AL196" s="7"/>
      <c r="AM196" s="7"/>
      <c r="AN196" s="7"/>
      <c r="AO196" s="7"/>
      <c r="AP196" s="7"/>
      <c r="AQ196" s="7"/>
      <c r="AR196" s="7"/>
      <c r="AS196" s="7"/>
      <c r="AT196" s="7"/>
      <c r="AU196" s="7"/>
      <c r="AV196" s="7"/>
      <c r="AW196" s="7"/>
      <c r="AX196" s="7"/>
      <c r="AY196" s="7"/>
      <c r="AZ196" s="7"/>
      <c r="BA196" s="7"/>
      <c r="BB196" s="7"/>
      <c r="BC196" s="7"/>
      <c r="BD196" s="7"/>
      <c r="BE196" s="7"/>
      <c r="BF196" s="7"/>
      <c r="BG196" s="7"/>
    </row>
    <row r="197" spans="1:59">
      <c r="A197" s="11" t="s">
        <v>36</v>
      </c>
      <c r="B197" s="178"/>
      <c r="C197" s="135">
        <f>0.1/0.044</f>
        <v>2.2727272727272729</v>
      </c>
      <c r="D197" s="66" t="s">
        <v>2</v>
      </c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  <c r="AA197" s="7"/>
      <c r="AB197" s="7"/>
      <c r="AC197" s="7"/>
      <c r="AD197" s="7"/>
      <c r="AE197" s="7"/>
      <c r="AF197" s="7"/>
      <c r="AG197" s="7"/>
      <c r="AH197" s="7"/>
      <c r="AI197" s="7"/>
      <c r="AJ197" s="7"/>
      <c r="AK197" s="7"/>
      <c r="AL197" s="7"/>
      <c r="AM197" s="7"/>
      <c r="AN197" s="7"/>
      <c r="AO197" s="7"/>
      <c r="AP197" s="7"/>
      <c r="AQ197" s="7"/>
      <c r="AR197" s="7"/>
      <c r="AS197" s="7"/>
      <c r="AT197" s="7"/>
      <c r="AU197" s="7"/>
      <c r="AV197" s="7"/>
      <c r="AW197" s="7"/>
      <c r="AX197" s="7"/>
      <c r="AY197" s="7"/>
      <c r="AZ197" s="7"/>
      <c r="BA197" s="7"/>
      <c r="BB197" s="7"/>
      <c r="BC197" s="7"/>
      <c r="BD197" s="7"/>
      <c r="BE197" s="7"/>
      <c r="BF197" s="7"/>
      <c r="BG197" s="7"/>
    </row>
    <row r="198" spans="1:59">
      <c r="A198" s="16" t="s">
        <v>46</v>
      </c>
      <c r="B198" s="178"/>
      <c r="C198" s="66"/>
      <c r="D198" s="66" t="s">
        <v>2</v>
      </c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  <c r="AA198" s="7"/>
      <c r="AB198" s="7"/>
      <c r="AC198" s="7"/>
      <c r="AD198" s="7"/>
      <c r="AE198" s="7"/>
      <c r="AF198" s="7"/>
      <c r="AG198" s="7"/>
      <c r="AH198" s="7"/>
      <c r="AI198" s="7"/>
      <c r="AJ198" s="7"/>
      <c r="AK198" s="7"/>
      <c r="AL198" s="7"/>
      <c r="AM198" s="7"/>
      <c r="AN198" s="7"/>
      <c r="AO198" s="7"/>
      <c r="AP198" s="7"/>
      <c r="AQ198" s="7"/>
      <c r="AR198" s="7"/>
      <c r="AS198" s="7"/>
      <c r="AT198" s="7"/>
      <c r="AU198" s="7"/>
      <c r="AV198" s="7"/>
      <c r="AW198" s="7"/>
      <c r="AX198" s="7"/>
      <c r="AY198" s="7"/>
      <c r="AZ198" s="7"/>
      <c r="BA198" s="7"/>
      <c r="BB198" s="7"/>
      <c r="BC198" s="7"/>
      <c r="BD198" s="7"/>
      <c r="BE198" s="7"/>
      <c r="BF198" s="7"/>
      <c r="BG198" s="7"/>
    </row>
    <row r="199" spans="1:59">
      <c r="A199" s="11" t="s">
        <v>41</v>
      </c>
      <c r="B199" s="178"/>
      <c r="C199" s="135">
        <f>0.01/0.025</f>
        <v>0.39999999999999997</v>
      </c>
      <c r="D199" s="66" t="s">
        <v>42</v>
      </c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  <c r="AA199" s="7"/>
      <c r="AB199" s="7"/>
      <c r="AC199" s="7"/>
      <c r="AD199" s="7"/>
      <c r="AE199" s="7"/>
      <c r="AF199" s="7"/>
      <c r="AG199" s="7"/>
      <c r="AH199" s="7"/>
      <c r="AI199" s="7"/>
      <c r="AJ199" s="7"/>
      <c r="AK199" s="7"/>
      <c r="AL199" s="7"/>
      <c r="AM199" s="7"/>
      <c r="AN199" s="7"/>
      <c r="AO199" s="7"/>
      <c r="AP199" s="7"/>
      <c r="AQ199" s="7"/>
      <c r="AR199" s="7"/>
      <c r="AS199" s="7"/>
      <c r="AT199" s="7"/>
      <c r="AU199" s="7"/>
      <c r="AV199" s="7"/>
      <c r="AW199" s="7"/>
      <c r="AX199" s="7"/>
      <c r="AY199" s="7"/>
      <c r="AZ199" s="7"/>
      <c r="BA199" s="7"/>
      <c r="BB199" s="7"/>
      <c r="BC199" s="7"/>
      <c r="BD199" s="7"/>
      <c r="BE199" s="7"/>
      <c r="BF199" s="7"/>
      <c r="BG199" s="7"/>
    </row>
    <row r="200" spans="1:59">
      <c r="A200" s="11" t="s">
        <v>33</v>
      </c>
      <c r="B200" s="178"/>
      <c r="C200" s="135">
        <f>0.025/0.025</f>
        <v>1</v>
      </c>
      <c r="D200" s="66" t="s">
        <v>42</v>
      </c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  <c r="AA200" s="7"/>
      <c r="AB200" s="7"/>
      <c r="AC200" s="7"/>
      <c r="AD200" s="7"/>
      <c r="AE200" s="7"/>
      <c r="AF200" s="7"/>
      <c r="AG200" s="7"/>
      <c r="AH200" s="7"/>
      <c r="AI200" s="7"/>
      <c r="AJ200" s="7"/>
      <c r="AK200" s="7"/>
      <c r="AL200" s="7"/>
      <c r="AM200" s="7"/>
      <c r="AN200" s="7"/>
      <c r="AO200" s="7"/>
      <c r="AP200" s="7"/>
      <c r="AQ200" s="7"/>
      <c r="AR200" s="7"/>
      <c r="AS200" s="7"/>
      <c r="AT200" s="7"/>
      <c r="AU200" s="7"/>
      <c r="AV200" s="7"/>
      <c r="AW200" s="7"/>
      <c r="AX200" s="7"/>
      <c r="AY200" s="7"/>
      <c r="AZ200" s="7"/>
      <c r="BA200" s="7"/>
      <c r="BB200" s="7"/>
      <c r="BC200" s="7"/>
      <c r="BD200" s="7"/>
      <c r="BE200" s="7"/>
      <c r="BF200" s="7"/>
      <c r="BG200" s="7"/>
    </row>
    <row r="201" spans="1:59">
      <c r="A201" s="11" t="s">
        <v>34</v>
      </c>
      <c r="B201" s="178"/>
      <c r="C201" s="135">
        <f>0.05/0.025</f>
        <v>2</v>
      </c>
      <c r="D201" s="66" t="s">
        <v>42</v>
      </c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  <c r="AC201" s="7"/>
      <c r="AD201" s="7"/>
      <c r="AE201" s="7"/>
      <c r="AF201" s="7"/>
      <c r="AG201" s="7"/>
      <c r="AH201" s="7"/>
      <c r="AI201" s="7"/>
      <c r="AJ201" s="7"/>
      <c r="AK201" s="7"/>
      <c r="AL201" s="7"/>
      <c r="AM201" s="7"/>
      <c r="AN201" s="7"/>
      <c r="AO201" s="7"/>
      <c r="AP201" s="7"/>
      <c r="AQ201" s="7"/>
      <c r="AR201" s="7"/>
      <c r="AS201" s="7"/>
      <c r="AT201" s="7"/>
      <c r="AU201" s="7"/>
      <c r="AV201" s="7"/>
      <c r="AW201" s="7"/>
      <c r="AX201" s="7"/>
      <c r="AY201" s="7"/>
      <c r="AZ201" s="7"/>
      <c r="BA201" s="7"/>
      <c r="BB201" s="7"/>
      <c r="BC201" s="7"/>
      <c r="BD201" s="7"/>
      <c r="BE201" s="7"/>
      <c r="BF201" s="7"/>
      <c r="BG201" s="7"/>
    </row>
    <row r="202" spans="1:59">
      <c r="A202" s="11" t="s">
        <v>35</v>
      </c>
      <c r="B202" s="178"/>
      <c r="C202" s="135">
        <f>0.075/0.025</f>
        <v>2.9999999999999996</v>
      </c>
      <c r="D202" s="66" t="s">
        <v>42</v>
      </c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  <c r="AA202" s="7"/>
      <c r="AB202" s="7"/>
      <c r="AC202" s="7"/>
      <c r="AD202" s="7"/>
      <c r="AE202" s="7"/>
      <c r="AF202" s="7"/>
      <c r="AG202" s="7"/>
      <c r="AH202" s="7"/>
      <c r="AI202" s="7"/>
      <c r="AJ202" s="7"/>
      <c r="AK202" s="7"/>
      <c r="AL202" s="7"/>
      <c r="AM202" s="7"/>
      <c r="AN202" s="7"/>
      <c r="AO202" s="7"/>
      <c r="AP202" s="7"/>
      <c r="AQ202" s="7"/>
      <c r="AR202" s="7"/>
      <c r="AS202" s="7"/>
      <c r="AT202" s="7"/>
      <c r="AU202" s="7"/>
      <c r="AV202" s="7"/>
      <c r="AW202" s="7"/>
      <c r="AX202" s="7"/>
      <c r="AY202" s="7"/>
      <c r="AZ202" s="7"/>
      <c r="BA202" s="7"/>
      <c r="BB202" s="7"/>
      <c r="BC202" s="7"/>
      <c r="BD202" s="7"/>
      <c r="BE202" s="7"/>
      <c r="BF202" s="7"/>
      <c r="BG202" s="7"/>
    </row>
    <row r="203" spans="1:59">
      <c r="A203" s="11" t="s">
        <v>36</v>
      </c>
      <c r="B203" s="178"/>
      <c r="C203" s="135">
        <f>0.1/0.025</f>
        <v>4</v>
      </c>
      <c r="D203" s="66" t="s">
        <v>42</v>
      </c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7"/>
      <c r="AD203" s="7"/>
      <c r="AE203" s="7"/>
      <c r="AF203" s="7"/>
      <c r="AG203" s="7"/>
      <c r="AH203" s="7"/>
      <c r="AI203" s="7"/>
      <c r="AJ203" s="7"/>
      <c r="AK203" s="7"/>
      <c r="AL203" s="7"/>
      <c r="AM203" s="7"/>
      <c r="AN203" s="7"/>
      <c r="AO203" s="7"/>
      <c r="AP203" s="7"/>
      <c r="AQ203" s="7"/>
      <c r="AR203" s="7"/>
      <c r="AS203" s="7"/>
      <c r="AT203" s="7"/>
      <c r="AU203" s="7"/>
      <c r="AV203" s="7"/>
      <c r="AW203" s="7"/>
      <c r="AX203" s="7"/>
      <c r="AY203" s="7"/>
      <c r="AZ203" s="7"/>
      <c r="BA203" s="7"/>
      <c r="BB203" s="7"/>
      <c r="BC203" s="7"/>
      <c r="BD203" s="7"/>
      <c r="BE203" s="7"/>
      <c r="BF203" s="7"/>
      <c r="BG203" s="7"/>
    </row>
    <row r="204" spans="1:59">
      <c r="A204" s="11" t="s">
        <v>41</v>
      </c>
      <c r="B204" s="178"/>
      <c r="C204" s="135">
        <f>0.01/0.019</f>
        <v>0.52631578947368418</v>
      </c>
      <c r="D204" s="66" t="s">
        <v>43</v>
      </c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  <c r="AA204" s="7"/>
      <c r="AB204" s="7"/>
      <c r="AC204" s="7"/>
      <c r="AD204" s="7"/>
      <c r="AE204" s="7"/>
      <c r="AF204" s="7"/>
      <c r="AG204" s="7"/>
      <c r="AH204" s="7"/>
      <c r="AI204" s="7"/>
      <c r="AJ204" s="7"/>
      <c r="AK204" s="7"/>
      <c r="AL204" s="7"/>
      <c r="AM204" s="7"/>
      <c r="AN204" s="7"/>
      <c r="AO204" s="7"/>
      <c r="AP204" s="7"/>
      <c r="AQ204" s="7"/>
      <c r="AR204" s="7"/>
      <c r="AS204" s="7"/>
      <c r="AT204" s="7"/>
      <c r="AU204" s="7"/>
      <c r="AV204" s="7"/>
      <c r="AW204" s="7"/>
      <c r="AX204" s="7"/>
      <c r="AY204" s="7"/>
      <c r="AZ204" s="7"/>
      <c r="BA204" s="7"/>
      <c r="BB204" s="7"/>
      <c r="BC204" s="7"/>
      <c r="BD204" s="7"/>
      <c r="BE204" s="7"/>
      <c r="BF204" s="7"/>
      <c r="BG204" s="7"/>
    </row>
    <row r="205" spans="1:59">
      <c r="A205" s="11" t="s">
        <v>33</v>
      </c>
      <c r="B205" s="178"/>
      <c r="C205" s="135">
        <f>0.025/0.019</f>
        <v>1.3157894736842106</v>
      </c>
      <c r="D205" s="66" t="str">
        <f>+D204</f>
        <v>Tipo rígido</v>
      </c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7"/>
      <c r="AD205" s="7"/>
      <c r="AE205" s="7"/>
      <c r="AF205" s="7"/>
      <c r="AG205" s="7"/>
      <c r="AH205" s="7"/>
      <c r="AI205" s="7"/>
      <c r="AJ205" s="7"/>
      <c r="AK205" s="7"/>
      <c r="AL205" s="7"/>
      <c r="AM205" s="7"/>
      <c r="AN205" s="7"/>
      <c r="AO205" s="7"/>
      <c r="AP205" s="7"/>
      <c r="AQ205" s="7"/>
      <c r="AR205" s="7"/>
      <c r="AS205" s="7"/>
      <c r="AT205" s="7"/>
      <c r="AU205" s="7"/>
      <c r="AV205" s="7"/>
      <c r="AW205" s="7"/>
      <c r="AX205" s="7"/>
      <c r="AY205" s="7"/>
      <c r="AZ205" s="7"/>
      <c r="BA205" s="7"/>
      <c r="BB205" s="7"/>
      <c r="BC205" s="7"/>
      <c r="BD205" s="7"/>
      <c r="BE205" s="7"/>
      <c r="BF205" s="7"/>
      <c r="BG205" s="7"/>
    </row>
    <row r="206" spans="1:59">
      <c r="A206" s="11" t="s">
        <v>34</v>
      </c>
      <c r="B206" s="178"/>
      <c r="C206" s="135">
        <f>0.05/0.019</f>
        <v>2.6315789473684212</v>
      </c>
      <c r="D206" s="66" t="s">
        <v>43</v>
      </c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  <c r="AA206" s="7"/>
      <c r="AB206" s="7"/>
      <c r="AC206" s="7"/>
      <c r="AD206" s="7"/>
      <c r="AE206" s="7"/>
      <c r="AF206" s="7"/>
      <c r="AG206" s="7"/>
      <c r="AH206" s="7"/>
      <c r="AI206" s="7"/>
      <c r="AJ206" s="7"/>
      <c r="AK206" s="7"/>
      <c r="AL206" s="7"/>
      <c r="AM206" s="7"/>
      <c r="AN206" s="7"/>
      <c r="AO206" s="7"/>
      <c r="AP206" s="7"/>
      <c r="AQ206" s="7"/>
      <c r="AR206" s="7"/>
      <c r="AS206" s="7"/>
      <c r="AT206" s="7"/>
      <c r="AU206" s="7"/>
      <c r="AV206" s="7"/>
      <c r="AW206" s="7"/>
      <c r="AX206" s="7"/>
      <c r="AY206" s="7"/>
      <c r="AZ206" s="7"/>
      <c r="BA206" s="7"/>
      <c r="BB206" s="7"/>
      <c r="BC206" s="7"/>
      <c r="BD206" s="7"/>
      <c r="BE206" s="7"/>
      <c r="BF206" s="7"/>
      <c r="BG206" s="7"/>
    </row>
    <row r="207" spans="1:59">
      <c r="A207" s="11" t="s">
        <v>35</v>
      </c>
      <c r="B207" s="178"/>
      <c r="C207" s="135">
        <f>0.075/0.019</f>
        <v>3.9473684210526314</v>
      </c>
      <c r="D207" s="66" t="s">
        <v>43</v>
      </c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  <c r="AA207" s="7"/>
      <c r="AB207" s="7"/>
      <c r="AC207" s="7"/>
      <c r="AD207" s="7"/>
      <c r="AE207" s="7"/>
      <c r="AF207" s="7"/>
      <c r="AG207" s="7"/>
      <c r="AH207" s="7"/>
      <c r="AI207" s="7"/>
      <c r="AJ207" s="7"/>
      <c r="AK207" s="7"/>
      <c r="AL207" s="7"/>
      <c r="AM207" s="7"/>
      <c r="AN207" s="7"/>
      <c r="AO207" s="7"/>
      <c r="AP207" s="7"/>
      <c r="AQ207" s="7"/>
      <c r="AR207" s="7"/>
      <c r="AS207" s="7"/>
      <c r="AT207" s="7"/>
      <c r="AU207" s="7"/>
      <c r="AV207" s="7"/>
      <c r="AW207" s="7"/>
      <c r="AX207" s="7"/>
      <c r="AY207" s="7"/>
      <c r="AZ207" s="7"/>
      <c r="BA207" s="7"/>
      <c r="BB207" s="7"/>
      <c r="BC207" s="7"/>
      <c r="BD207" s="7"/>
      <c r="BE207" s="7"/>
      <c r="BF207" s="7"/>
      <c r="BG207" s="7"/>
    </row>
    <row r="208" spans="1:59">
      <c r="A208" s="11" t="s">
        <v>36</v>
      </c>
      <c r="B208" s="178"/>
      <c r="C208" s="135">
        <f>0.1/0.019</f>
        <v>5.2631578947368425</v>
      </c>
      <c r="D208" s="66" t="s">
        <v>43</v>
      </c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  <c r="AA208" s="7"/>
      <c r="AB208" s="7"/>
      <c r="AC208" s="7"/>
      <c r="AD208" s="7"/>
      <c r="AE208" s="7"/>
      <c r="AF208" s="7"/>
      <c r="AG208" s="7"/>
      <c r="AH208" s="7"/>
      <c r="AI208" s="7"/>
      <c r="AJ208" s="7"/>
      <c r="AK208" s="7"/>
      <c r="AL208" s="7"/>
      <c r="AM208" s="7"/>
      <c r="AN208" s="7"/>
      <c r="AO208" s="7"/>
      <c r="AP208" s="7"/>
      <c r="AQ208" s="7"/>
      <c r="AR208" s="7"/>
      <c r="AS208" s="7"/>
      <c r="AT208" s="7"/>
      <c r="AU208" s="7"/>
      <c r="AV208" s="7"/>
      <c r="AW208" s="7"/>
      <c r="AX208" s="7"/>
      <c r="AY208" s="7"/>
      <c r="AZ208" s="7"/>
      <c r="BA208" s="7"/>
      <c r="BB208" s="7"/>
      <c r="BC208" s="7"/>
      <c r="BD208" s="7"/>
      <c r="BE208" s="7"/>
      <c r="BF208" s="7"/>
      <c r="BG208" s="7"/>
    </row>
    <row r="209" spans="1:59">
      <c r="A209" s="16" t="s">
        <v>47</v>
      </c>
      <c r="B209" s="178"/>
      <c r="C209" s="66"/>
      <c r="D209" s="66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  <c r="AA209" s="7"/>
      <c r="AB209" s="7"/>
      <c r="AC209" s="7"/>
      <c r="AD209" s="7"/>
      <c r="AE209" s="7"/>
      <c r="AF209" s="7"/>
      <c r="AG209" s="7"/>
      <c r="AH209" s="7"/>
      <c r="AI209" s="7"/>
      <c r="AJ209" s="7"/>
      <c r="AK209" s="7"/>
      <c r="AL209" s="7"/>
      <c r="AM209" s="7"/>
      <c r="AN209" s="7"/>
      <c r="AO209" s="7"/>
      <c r="AP209" s="7"/>
      <c r="AQ209" s="7"/>
      <c r="AR209" s="7"/>
      <c r="AS209" s="7"/>
      <c r="AT209" s="7"/>
      <c r="AU209" s="7"/>
      <c r="AV209" s="7"/>
      <c r="AW209" s="7"/>
      <c r="AX209" s="7"/>
      <c r="AY209" s="7"/>
      <c r="AZ209" s="7"/>
      <c r="BA209" s="7"/>
      <c r="BB209" s="7"/>
      <c r="BC209" s="7"/>
      <c r="BD209" s="7"/>
      <c r="BE209" s="7"/>
      <c r="BF209" s="7"/>
      <c r="BG209" s="7"/>
    </row>
    <row r="210" spans="1:59">
      <c r="A210" s="11" t="s">
        <v>48</v>
      </c>
      <c r="B210" s="178"/>
      <c r="C210" s="135">
        <f>0.05/0.056</f>
        <v>0.8928571428571429</v>
      </c>
      <c r="D210" s="66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7"/>
      <c r="AC210" s="7"/>
      <c r="AD210" s="7"/>
      <c r="AE210" s="7"/>
      <c r="AF210" s="7"/>
      <c r="AG210" s="7"/>
      <c r="AH210" s="7"/>
      <c r="AI210" s="7"/>
      <c r="AJ210" s="7"/>
      <c r="AK210" s="7"/>
      <c r="AL210" s="7"/>
      <c r="AM210" s="7"/>
      <c r="AN210" s="7"/>
      <c r="AO210" s="7"/>
      <c r="AP210" s="7"/>
      <c r="AQ210" s="7"/>
      <c r="AR210" s="7"/>
      <c r="AS210" s="7"/>
      <c r="AT210" s="7"/>
      <c r="AU210" s="7"/>
      <c r="AV210" s="7"/>
      <c r="AW210" s="7"/>
      <c r="AX210" s="7"/>
      <c r="AY210" s="7"/>
      <c r="AZ210" s="7"/>
      <c r="BA210" s="7"/>
      <c r="BB210" s="7"/>
      <c r="BC210" s="7"/>
      <c r="BD210" s="7"/>
      <c r="BE210" s="7"/>
      <c r="BF210" s="7"/>
      <c r="BG210" s="7"/>
    </row>
    <row r="211" spans="1:59">
      <c r="A211" s="11" t="s">
        <v>50</v>
      </c>
      <c r="B211" s="178"/>
      <c r="C211" s="135">
        <f>0.003/0.056</f>
        <v>5.3571428571428568E-2</v>
      </c>
      <c r="D211" s="66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  <c r="AA211" s="7"/>
      <c r="AB211" s="7"/>
      <c r="AC211" s="7"/>
      <c r="AD211" s="7"/>
      <c r="AE211" s="7"/>
      <c r="AF211" s="7"/>
      <c r="AG211" s="7"/>
      <c r="AH211" s="7"/>
      <c r="AI211" s="7"/>
      <c r="AJ211" s="7"/>
      <c r="AK211" s="7"/>
      <c r="AL211" s="7"/>
      <c r="AM211" s="7"/>
      <c r="AN211" s="7"/>
      <c r="AO211" s="7"/>
      <c r="AP211" s="7"/>
      <c r="AQ211" s="7"/>
      <c r="AR211" s="7"/>
      <c r="AS211" s="7"/>
      <c r="AT211" s="7"/>
      <c r="AU211" s="7"/>
      <c r="AV211" s="7"/>
      <c r="AW211" s="7"/>
      <c r="AX211" s="7"/>
      <c r="AY211" s="7"/>
      <c r="AZ211" s="7"/>
      <c r="BA211" s="7"/>
      <c r="BB211" s="7"/>
      <c r="BC211" s="7"/>
      <c r="BD211" s="7"/>
      <c r="BE211" s="7"/>
      <c r="BF211" s="7"/>
      <c r="BG211" s="7"/>
    </row>
    <row r="212" spans="1:59">
      <c r="A212" s="11" t="s">
        <v>51</v>
      </c>
      <c r="B212" s="178"/>
      <c r="C212" s="135">
        <f>0.005/0.056</f>
        <v>8.9285714285714288E-2</v>
      </c>
      <c r="D212" s="66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  <c r="AC212" s="7"/>
      <c r="AD212" s="7"/>
      <c r="AE212" s="7"/>
      <c r="AF212" s="7"/>
      <c r="AG212" s="7"/>
      <c r="AH212" s="7"/>
      <c r="AI212" s="7"/>
      <c r="AJ212" s="7"/>
      <c r="AK212" s="7"/>
      <c r="AL212" s="7"/>
      <c r="AM212" s="7"/>
      <c r="AN212" s="7"/>
      <c r="AO212" s="7"/>
      <c r="AP212" s="7"/>
      <c r="AQ212" s="7"/>
      <c r="AR212" s="7"/>
      <c r="AS212" s="7"/>
      <c r="AT212" s="7"/>
      <c r="AU212" s="7"/>
      <c r="AV212" s="7"/>
      <c r="AW212" s="7"/>
      <c r="AX212" s="7"/>
      <c r="AY212" s="7"/>
      <c r="AZ212" s="7"/>
      <c r="BA212" s="7"/>
      <c r="BB212" s="7"/>
      <c r="BC212" s="7"/>
      <c r="BD212" s="7"/>
      <c r="BE212" s="7"/>
      <c r="BF212" s="7"/>
      <c r="BG212" s="7"/>
    </row>
    <row r="213" spans="1:59">
      <c r="A213" s="16" t="s">
        <v>49</v>
      </c>
      <c r="B213" s="178"/>
      <c r="C213" s="135"/>
      <c r="D213" s="66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/>
      <c r="AB213" s="7"/>
      <c r="AC213" s="7"/>
      <c r="AD213" s="7"/>
      <c r="AE213" s="7"/>
      <c r="AF213" s="7"/>
      <c r="AG213" s="7"/>
      <c r="AH213" s="7"/>
      <c r="AI213" s="7"/>
      <c r="AJ213" s="7"/>
      <c r="AK213" s="7"/>
      <c r="AL213" s="7"/>
      <c r="AM213" s="7"/>
      <c r="AN213" s="7"/>
      <c r="AO213" s="7"/>
      <c r="AP213" s="7"/>
      <c r="AQ213" s="7"/>
      <c r="AR213" s="7"/>
      <c r="AS213" s="7"/>
      <c r="AT213" s="7"/>
      <c r="AU213" s="7"/>
      <c r="AV213" s="7"/>
      <c r="AW213" s="7"/>
      <c r="AX213" s="7"/>
      <c r="AY213" s="7"/>
      <c r="AZ213" s="7"/>
      <c r="BA213" s="7"/>
      <c r="BB213" s="7"/>
      <c r="BC213" s="7"/>
      <c r="BD213" s="7"/>
      <c r="BE213" s="7"/>
      <c r="BF213" s="7"/>
      <c r="BG213" s="7"/>
    </row>
    <row r="214" spans="1:59">
      <c r="A214" s="11" t="s">
        <v>34</v>
      </c>
      <c r="B214" s="178"/>
      <c r="C214" s="135">
        <f>0.05/0.16</f>
        <v>0.3125</v>
      </c>
      <c r="D214" s="66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  <c r="AC214" s="7"/>
      <c r="AD214" s="7"/>
      <c r="AE214" s="7"/>
      <c r="AF214" s="7"/>
      <c r="AG214" s="7"/>
      <c r="AH214" s="7"/>
      <c r="AI214" s="7"/>
      <c r="AJ214" s="7"/>
      <c r="AK214" s="7"/>
      <c r="AL214" s="7"/>
      <c r="AM214" s="7"/>
      <c r="AN214" s="7"/>
      <c r="AO214" s="7"/>
      <c r="AP214" s="7"/>
      <c r="AQ214" s="7"/>
      <c r="AR214" s="7"/>
      <c r="AS214" s="7"/>
      <c r="AT214" s="7"/>
      <c r="AU214" s="7"/>
      <c r="AV214" s="7"/>
      <c r="AW214" s="7"/>
      <c r="AX214" s="7"/>
      <c r="AY214" s="7"/>
      <c r="AZ214" s="7"/>
      <c r="BA214" s="7"/>
      <c r="BB214" s="7"/>
      <c r="BC214" s="7"/>
      <c r="BD214" s="7"/>
      <c r="BE214" s="7"/>
      <c r="BF214" s="7"/>
      <c r="BG214" s="7"/>
    </row>
    <row r="215" spans="1:59">
      <c r="A215" s="11" t="s">
        <v>36</v>
      </c>
      <c r="B215" s="178"/>
      <c r="C215" s="135">
        <f>0.1/0.16</f>
        <v>0.625</v>
      </c>
      <c r="D215" s="66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  <c r="AA215" s="7"/>
      <c r="AB215" s="7"/>
      <c r="AC215" s="7"/>
      <c r="AD215" s="7"/>
      <c r="AE215" s="7"/>
      <c r="AF215" s="7"/>
      <c r="AG215" s="7"/>
      <c r="AH215" s="7"/>
      <c r="AI215" s="7"/>
      <c r="AJ215" s="7"/>
      <c r="AK215" s="7"/>
      <c r="AL215" s="7"/>
      <c r="AM215" s="7"/>
      <c r="AN215" s="7"/>
      <c r="AO215" s="7"/>
      <c r="AP215" s="7"/>
      <c r="AQ215" s="7"/>
      <c r="AR215" s="7"/>
      <c r="AS215" s="7"/>
      <c r="AT215" s="7"/>
      <c r="AU215" s="7"/>
      <c r="AV215" s="7"/>
      <c r="AW215" s="7"/>
      <c r="AX215" s="7"/>
      <c r="AY215" s="7"/>
      <c r="AZ215" s="7"/>
      <c r="BA215" s="7"/>
      <c r="BB215" s="7"/>
      <c r="BC215" s="7"/>
      <c r="BD215" s="7"/>
      <c r="BE215" s="7"/>
      <c r="BF215" s="7"/>
      <c r="BG215" s="7"/>
    </row>
    <row r="216" spans="1:59">
      <c r="A216" s="11" t="s">
        <v>52</v>
      </c>
      <c r="B216" s="178"/>
      <c r="C216" s="135">
        <f>0.15/0.16</f>
        <v>0.9375</v>
      </c>
      <c r="D216" s="66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  <c r="AA216" s="7"/>
      <c r="AB216" s="7"/>
      <c r="AC216" s="7"/>
      <c r="AD216" s="7"/>
      <c r="AE216" s="7"/>
      <c r="AF216" s="7"/>
      <c r="AG216" s="7"/>
      <c r="AH216" s="7"/>
      <c r="AI216" s="7"/>
      <c r="AJ216" s="7"/>
      <c r="AK216" s="7"/>
      <c r="AL216" s="7"/>
      <c r="AM216" s="7"/>
      <c r="AN216" s="7"/>
      <c r="AO216" s="7"/>
      <c r="AP216" s="7"/>
      <c r="AQ216" s="7"/>
      <c r="AR216" s="7"/>
      <c r="AS216" s="7"/>
      <c r="AT216" s="7"/>
      <c r="AU216" s="7"/>
      <c r="AV216" s="7"/>
      <c r="AW216" s="7"/>
      <c r="AX216" s="7"/>
      <c r="AY216" s="7"/>
      <c r="AZ216" s="7"/>
      <c r="BA216" s="7"/>
      <c r="BB216" s="7"/>
      <c r="BC216" s="7"/>
      <c r="BD216" s="7"/>
      <c r="BE216" s="7"/>
      <c r="BF216" s="7"/>
      <c r="BG216" s="7"/>
    </row>
    <row r="217" spans="1:59">
      <c r="A217" s="16" t="s">
        <v>53</v>
      </c>
      <c r="B217" s="178"/>
      <c r="C217" s="135"/>
      <c r="D217" s="66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  <c r="AA217" s="7"/>
      <c r="AB217" s="7"/>
      <c r="AC217" s="7"/>
      <c r="AD217" s="7"/>
      <c r="AE217" s="7"/>
      <c r="AF217" s="7"/>
      <c r="AG217" s="7"/>
      <c r="AH217" s="7"/>
      <c r="AI217" s="7"/>
      <c r="AJ217" s="7"/>
      <c r="AK217" s="7"/>
      <c r="AL217" s="7"/>
      <c r="AM217" s="7"/>
      <c r="AN217" s="7"/>
      <c r="AO217" s="7"/>
      <c r="AP217" s="7"/>
      <c r="AQ217" s="7"/>
      <c r="AR217" s="7"/>
      <c r="AS217" s="7"/>
      <c r="AT217" s="7"/>
      <c r="AU217" s="7"/>
      <c r="AV217" s="7"/>
      <c r="AW217" s="7"/>
      <c r="AX217" s="7"/>
      <c r="AY217" s="7"/>
      <c r="AZ217" s="7"/>
      <c r="BA217" s="7"/>
      <c r="BB217" s="7"/>
      <c r="BC217" s="7"/>
      <c r="BD217" s="7"/>
      <c r="BE217" s="7"/>
      <c r="BF217" s="7"/>
      <c r="BG217" s="7"/>
    </row>
    <row r="218" spans="1:59">
      <c r="A218" s="11" t="s">
        <v>54</v>
      </c>
      <c r="B218" s="178"/>
      <c r="C218" s="135">
        <f>0.012/0.2</f>
        <v>0.06</v>
      </c>
      <c r="D218" s="66" t="s">
        <v>58</v>
      </c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  <c r="AB218" s="7"/>
      <c r="AC218" s="7"/>
      <c r="AD218" s="7"/>
      <c r="AE218" s="7"/>
      <c r="AF218" s="7"/>
      <c r="AG218" s="7"/>
      <c r="AH218" s="7"/>
      <c r="AI218" s="7"/>
      <c r="AJ218" s="7"/>
      <c r="AK218" s="7"/>
      <c r="AL218" s="7"/>
      <c r="AM218" s="7"/>
      <c r="AN218" s="7"/>
      <c r="AO218" s="7"/>
      <c r="AP218" s="7"/>
      <c r="AQ218" s="7"/>
      <c r="AR218" s="7"/>
      <c r="AS218" s="7"/>
      <c r="AT218" s="7"/>
      <c r="AU218" s="7"/>
      <c r="AV218" s="7"/>
      <c r="AW218" s="7"/>
      <c r="AX218" s="7"/>
      <c r="AY218" s="7"/>
      <c r="AZ218" s="7"/>
      <c r="BA218" s="7"/>
      <c r="BB218" s="7"/>
      <c r="BC218" s="7"/>
      <c r="BD218" s="7"/>
      <c r="BE218" s="7"/>
      <c r="BF218" s="7"/>
      <c r="BG218" s="7"/>
    </row>
    <row r="219" spans="1:59">
      <c r="A219" s="11" t="s">
        <v>55</v>
      </c>
      <c r="B219" s="178"/>
      <c r="C219" s="135">
        <f>0.019/0.2</f>
        <v>9.4999999999999987E-2</v>
      </c>
      <c r="D219" s="66" t="s">
        <v>58</v>
      </c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  <c r="AC219" s="7"/>
      <c r="AD219" s="7"/>
      <c r="AE219" s="7"/>
      <c r="AF219" s="7"/>
      <c r="AG219" s="7"/>
      <c r="AH219" s="7"/>
      <c r="AI219" s="7"/>
      <c r="AJ219" s="7"/>
      <c r="AK219" s="7"/>
      <c r="AL219" s="7"/>
      <c r="AM219" s="7"/>
      <c r="AN219" s="7"/>
      <c r="AO219" s="7"/>
      <c r="AP219" s="7"/>
      <c r="AQ219" s="7"/>
      <c r="AR219" s="7"/>
      <c r="AS219" s="7"/>
      <c r="AT219" s="7"/>
      <c r="AU219" s="7"/>
      <c r="AV219" s="7"/>
      <c r="AW219" s="7"/>
      <c r="AX219" s="7"/>
      <c r="AY219" s="7"/>
      <c r="AZ219" s="7"/>
      <c r="BA219" s="7"/>
      <c r="BB219" s="7"/>
      <c r="BC219" s="7"/>
      <c r="BD219" s="7"/>
      <c r="BE219" s="7"/>
      <c r="BF219" s="7"/>
      <c r="BG219" s="7"/>
    </row>
    <row r="220" spans="1:59">
      <c r="A220" s="11" t="s">
        <v>56</v>
      </c>
      <c r="B220" s="178"/>
      <c r="C220" s="135">
        <f>0.025/0.2</f>
        <v>0.125</v>
      </c>
      <c r="D220" s="66" t="s">
        <v>58</v>
      </c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  <c r="AA220" s="7"/>
      <c r="AB220" s="7"/>
      <c r="AC220" s="7"/>
      <c r="AD220" s="7"/>
      <c r="AE220" s="7"/>
      <c r="AF220" s="7"/>
      <c r="AG220" s="7"/>
      <c r="AH220" s="7"/>
      <c r="AI220" s="7"/>
      <c r="AJ220" s="7"/>
      <c r="AK220" s="7"/>
      <c r="AL220" s="7"/>
      <c r="AM220" s="7"/>
      <c r="AN220" s="7"/>
      <c r="AO220" s="7"/>
      <c r="AP220" s="7"/>
      <c r="AQ220" s="7"/>
      <c r="AR220" s="7"/>
      <c r="AS220" s="7"/>
      <c r="AT220" s="7"/>
      <c r="AU220" s="7"/>
      <c r="AV220" s="7"/>
      <c r="AW220" s="7"/>
      <c r="AX220" s="7"/>
      <c r="AY220" s="7"/>
      <c r="AZ220" s="7"/>
      <c r="BA220" s="7"/>
      <c r="BB220" s="7"/>
      <c r="BC220" s="7"/>
      <c r="BD220" s="7"/>
      <c r="BE220" s="7"/>
      <c r="BF220" s="7"/>
      <c r="BG220" s="7"/>
    </row>
    <row r="221" spans="1:59">
      <c r="A221" s="11" t="s">
        <v>57</v>
      </c>
      <c r="B221" s="178"/>
      <c r="C221" s="135">
        <f>0.05/0.2</f>
        <v>0.25</v>
      </c>
      <c r="D221" s="66" t="s">
        <v>58</v>
      </c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  <c r="AA221" s="7"/>
      <c r="AB221" s="7"/>
      <c r="AC221" s="7"/>
      <c r="AD221" s="7"/>
      <c r="AE221" s="7"/>
      <c r="AF221" s="7"/>
      <c r="AG221" s="7"/>
      <c r="AH221" s="7"/>
      <c r="AI221" s="7"/>
      <c r="AJ221" s="7"/>
      <c r="AK221" s="7"/>
      <c r="AL221" s="7"/>
      <c r="AM221" s="7"/>
      <c r="AN221" s="7"/>
      <c r="AO221" s="7"/>
      <c r="AP221" s="7"/>
      <c r="AQ221" s="7"/>
      <c r="AR221" s="7"/>
      <c r="AS221" s="7"/>
      <c r="AT221" s="7"/>
      <c r="AU221" s="7"/>
      <c r="AV221" s="7"/>
      <c r="AW221" s="7"/>
      <c r="AX221" s="7"/>
      <c r="AY221" s="7"/>
      <c r="AZ221" s="7"/>
      <c r="BA221" s="7"/>
      <c r="BB221" s="7"/>
      <c r="BC221" s="7"/>
      <c r="BD221" s="7"/>
      <c r="BE221" s="7"/>
      <c r="BF221" s="7"/>
      <c r="BG221" s="7"/>
    </row>
    <row r="222" spans="1:59">
      <c r="A222" s="11" t="s">
        <v>60</v>
      </c>
      <c r="B222" s="178"/>
      <c r="C222" s="66"/>
      <c r="D222" s="66"/>
      <c r="E222" s="178"/>
      <c r="F222" s="178"/>
      <c r="G222" s="178"/>
      <c r="H222" s="178"/>
      <c r="I222" s="178"/>
      <c r="J222" s="178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  <c r="AA222" s="7"/>
      <c r="AB222" s="7"/>
      <c r="AC222" s="7"/>
      <c r="AD222" s="7"/>
      <c r="AE222" s="7"/>
      <c r="AF222" s="7"/>
      <c r="AG222" s="7"/>
      <c r="AH222" s="7"/>
      <c r="AI222" s="7"/>
      <c r="AJ222" s="7"/>
      <c r="AK222" s="7"/>
      <c r="AL222" s="7"/>
      <c r="AM222" s="7"/>
      <c r="AN222" s="7"/>
      <c r="AO222" s="7"/>
      <c r="AP222" s="7"/>
      <c r="AQ222" s="7"/>
      <c r="AR222" s="7"/>
      <c r="AS222" s="7"/>
      <c r="AT222" s="7"/>
      <c r="AU222" s="7"/>
      <c r="AV222" s="7"/>
      <c r="AW222" s="7"/>
      <c r="AX222" s="7"/>
      <c r="AY222" s="7"/>
      <c r="AZ222" s="7"/>
      <c r="BA222" s="7"/>
      <c r="BB222" s="7"/>
      <c r="BC222" s="7"/>
      <c r="BD222" s="7"/>
      <c r="BE222" s="7"/>
      <c r="BF222" s="7"/>
      <c r="BG222" s="7"/>
    </row>
    <row r="223" spans="1:59">
      <c r="A223" s="11" t="s">
        <v>61</v>
      </c>
      <c r="B223" s="178"/>
      <c r="C223" s="66"/>
      <c r="D223" s="66"/>
      <c r="E223" s="178"/>
      <c r="F223" s="178"/>
      <c r="G223" s="178"/>
      <c r="H223" s="178"/>
      <c r="I223" s="178"/>
      <c r="J223" s="178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  <c r="AA223" s="7"/>
      <c r="AB223" s="7"/>
      <c r="AC223" s="7"/>
      <c r="AD223" s="7"/>
      <c r="AE223" s="7"/>
      <c r="AF223" s="7"/>
      <c r="AG223" s="7"/>
      <c r="AH223" s="7"/>
      <c r="AI223" s="7"/>
      <c r="AJ223" s="7"/>
      <c r="AK223" s="7"/>
      <c r="AL223" s="7"/>
      <c r="AM223" s="7"/>
      <c r="AN223" s="7"/>
      <c r="AO223" s="7"/>
      <c r="AP223" s="7"/>
      <c r="AQ223" s="7"/>
      <c r="AR223" s="7"/>
      <c r="AS223" s="7"/>
      <c r="AT223" s="7"/>
      <c r="AU223" s="7"/>
      <c r="AV223" s="7"/>
      <c r="AW223" s="7"/>
      <c r="AX223" s="7"/>
      <c r="AY223" s="7"/>
      <c r="AZ223" s="7"/>
      <c r="BA223" s="7"/>
      <c r="BB223" s="7"/>
      <c r="BC223" s="7"/>
      <c r="BD223" s="7"/>
      <c r="BE223" s="7"/>
      <c r="BF223" s="7"/>
      <c r="BG223" s="7"/>
    </row>
    <row r="224" spans="1:59">
      <c r="A224" s="11" t="s">
        <v>59</v>
      </c>
      <c r="B224" s="178"/>
      <c r="C224" s="66"/>
      <c r="D224" s="66"/>
      <c r="E224" s="178"/>
      <c r="F224" s="178"/>
      <c r="G224" s="178"/>
      <c r="H224" s="178"/>
      <c r="I224" s="178"/>
      <c r="J224" s="178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  <c r="AA224" s="7"/>
      <c r="AB224" s="7"/>
      <c r="AC224" s="7"/>
      <c r="AD224" s="7"/>
      <c r="AE224" s="7"/>
      <c r="AF224" s="7"/>
      <c r="AG224" s="7"/>
      <c r="AH224" s="7"/>
      <c r="AI224" s="7"/>
      <c r="AJ224" s="7"/>
      <c r="AK224" s="7"/>
      <c r="AL224" s="7"/>
      <c r="AM224" s="7"/>
      <c r="AN224" s="7"/>
      <c r="AO224" s="7"/>
      <c r="AP224" s="7"/>
      <c r="AQ224" s="7"/>
      <c r="AR224" s="7"/>
      <c r="AS224" s="7"/>
      <c r="AT224" s="7"/>
      <c r="AU224" s="7"/>
      <c r="AV224" s="7"/>
      <c r="AW224" s="7"/>
      <c r="AX224" s="7"/>
      <c r="AY224" s="7"/>
      <c r="AZ224" s="7"/>
      <c r="BA224" s="7"/>
      <c r="BB224" s="7"/>
      <c r="BC224" s="7"/>
      <c r="BD224" s="7"/>
      <c r="BE224" s="7"/>
      <c r="BF224" s="7"/>
      <c r="BG224" s="7"/>
    </row>
    <row r="225" spans="1:59">
      <c r="A225" s="14" t="s">
        <v>62</v>
      </c>
      <c r="B225" s="178"/>
      <c r="C225" s="60"/>
      <c r="D225" s="60"/>
      <c r="E225" s="178"/>
      <c r="F225" s="178"/>
      <c r="G225" s="178"/>
      <c r="H225" s="178"/>
      <c r="I225" s="178"/>
      <c r="J225" s="178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  <c r="AA225" s="7"/>
      <c r="AB225" s="7"/>
      <c r="AC225" s="7"/>
      <c r="AD225" s="7"/>
      <c r="AE225" s="7"/>
      <c r="AF225" s="7"/>
      <c r="AG225" s="7"/>
      <c r="AH225" s="7"/>
      <c r="AI225" s="7"/>
      <c r="AJ225" s="7"/>
      <c r="AK225" s="7"/>
      <c r="AL225" s="7"/>
      <c r="AM225" s="7"/>
      <c r="AN225" s="7"/>
      <c r="AO225" s="7"/>
      <c r="AP225" s="7"/>
      <c r="AQ225" s="7"/>
      <c r="AR225" s="7"/>
      <c r="AS225" s="7"/>
      <c r="AT225" s="7"/>
      <c r="AU225" s="7"/>
      <c r="AV225" s="7"/>
      <c r="AW225" s="7"/>
      <c r="AX225" s="7"/>
      <c r="AY225" s="7"/>
      <c r="AZ225" s="7"/>
      <c r="BA225" s="7"/>
      <c r="BB225" s="7"/>
      <c r="BC225" s="7"/>
      <c r="BD225" s="7"/>
      <c r="BE225" s="7"/>
      <c r="BF225" s="7"/>
      <c r="BG225" s="7"/>
    </row>
    <row r="226" spans="1:59">
      <c r="A226" s="7"/>
      <c r="B226" s="178"/>
      <c r="C226" s="7"/>
      <c r="D226" s="7"/>
      <c r="E226" s="178"/>
      <c r="F226" s="178"/>
      <c r="G226" s="178"/>
      <c r="H226" s="178"/>
      <c r="I226" s="178"/>
      <c r="J226" s="178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  <c r="AA226" s="7"/>
      <c r="AB226" s="7"/>
      <c r="AC226" s="7"/>
      <c r="AD226" s="7"/>
      <c r="AE226" s="7"/>
      <c r="AF226" s="7"/>
      <c r="AG226" s="7"/>
      <c r="AH226" s="7"/>
      <c r="AI226" s="7"/>
      <c r="AJ226" s="7"/>
      <c r="AK226" s="7"/>
      <c r="AL226" s="7"/>
      <c r="AM226" s="7"/>
      <c r="AN226" s="7"/>
      <c r="AO226" s="7"/>
      <c r="AP226" s="7"/>
      <c r="AQ226" s="7"/>
      <c r="AR226" s="7"/>
      <c r="AS226" s="7"/>
      <c r="AT226" s="7"/>
      <c r="AU226" s="7"/>
      <c r="AV226" s="7"/>
      <c r="AW226" s="7"/>
      <c r="AX226" s="7"/>
      <c r="AY226" s="7"/>
      <c r="AZ226" s="7"/>
      <c r="BA226" s="7"/>
      <c r="BB226" s="7"/>
      <c r="BC226" s="7"/>
      <c r="BD226" s="7"/>
      <c r="BE226" s="7"/>
      <c r="BF226" s="7"/>
      <c r="BG226" s="7"/>
    </row>
    <row r="227" spans="1:59">
      <c r="B227" s="178"/>
      <c r="E227" s="178"/>
      <c r="F227" s="178"/>
      <c r="G227" s="178"/>
      <c r="H227" s="178"/>
      <c r="I227" s="178"/>
      <c r="J227" s="178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  <c r="AA227" s="7"/>
      <c r="AB227" s="7"/>
      <c r="AC227" s="7"/>
      <c r="AD227" s="7"/>
      <c r="AE227" s="7"/>
      <c r="AF227" s="7"/>
      <c r="AG227" s="7"/>
      <c r="AH227" s="7"/>
      <c r="AI227" s="7"/>
      <c r="AJ227" s="7"/>
      <c r="AK227" s="7"/>
      <c r="AL227" s="7"/>
      <c r="AM227" s="7"/>
      <c r="AN227" s="7"/>
      <c r="AO227" s="7"/>
      <c r="AP227" s="7"/>
      <c r="AQ227" s="7"/>
      <c r="AR227" s="7"/>
      <c r="AS227" s="7"/>
      <c r="AT227" s="7"/>
      <c r="AU227" s="7"/>
      <c r="AV227" s="7"/>
      <c r="AW227" s="7"/>
      <c r="AX227" s="7"/>
      <c r="AY227" s="7"/>
      <c r="AZ227" s="7"/>
      <c r="BA227" s="7"/>
      <c r="BB227" s="7"/>
      <c r="BC227" s="7"/>
      <c r="BD227" s="7"/>
      <c r="BE227" s="7"/>
      <c r="BF227" s="7"/>
      <c r="BG227" s="7"/>
    </row>
    <row r="228" spans="1:59">
      <c r="A228" s="7"/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  <c r="AA228" s="7"/>
      <c r="AB228" s="7"/>
      <c r="AC228" s="7"/>
      <c r="AD228" s="7"/>
      <c r="AE228" s="7"/>
      <c r="AF228" s="7"/>
      <c r="AG228" s="7"/>
      <c r="AH228" s="7"/>
      <c r="AI228" s="7"/>
      <c r="AJ228" s="7"/>
      <c r="AK228" s="7"/>
      <c r="AL228" s="7"/>
      <c r="AM228" s="7"/>
      <c r="AN228" s="7"/>
      <c r="AO228" s="7"/>
      <c r="AP228" s="7"/>
      <c r="AQ228" s="7"/>
      <c r="AR228" s="7"/>
      <c r="AS228" s="7"/>
      <c r="AT228" s="7"/>
      <c r="AU228" s="7"/>
      <c r="AV228" s="7"/>
      <c r="AW228" s="7"/>
      <c r="AX228" s="7"/>
      <c r="AY228" s="7"/>
      <c r="AZ228" s="7"/>
      <c r="BA228" s="7"/>
      <c r="BB228" s="7"/>
      <c r="BC228" s="7"/>
      <c r="BD228" s="7"/>
      <c r="BE228" s="7"/>
      <c r="BF228" s="7"/>
      <c r="BG228" s="7"/>
    </row>
    <row r="229" spans="1:59">
      <c r="A229" s="7"/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  <c r="AA229" s="7"/>
      <c r="AB229" s="7"/>
      <c r="AC229" s="7"/>
      <c r="AD229" s="7"/>
      <c r="AE229" s="7"/>
      <c r="AF229" s="7"/>
      <c r="AG229" s="7"/>
      <c r="AH229" s="7"/>
      <c r="AI229" s="7"/>
      <c r="AJ229" s="7"/>
      <c r="AK229" s="7"/>
      <c r="AL229" s="7"/>
      <c r="AM229" s="7"/>
      <c r="AN229" s="7"/>
      <c r="AO229" s="7"/>
      <c r="AP229" s="7"/>
      <c r="AQ229" s="7"/>
      <c r="AR229" s="7"/>
      <c r="AS229" s="7"/>
      <c r="AT229" s="7"/>
      <c r="AU229" s="7"/>
      <c r="AV229" s="7"/>
      <c r="AW229" s="7"/>
      <c r="AX229" s="7"/>
      <c r="AY229" s="7"/>
      <c r="AZ229" s="7"/>
      <c r="BA229" s="7"/>
      <c r="BB229" s="7"/>
      <c r="BC229" s="7"/>
      <c r="BD229" s="7"/>
      <c r="BE229" s="7"/>
      <c r="BF229" s="7"/>
      <c r="BG229" s="7"/>
    </row>
    <row r="230" spans="1:59">
      <c r="A230" s="7"/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  <c r="AA230" s="7"/>
      <c r="AB230" s="7"/>
      <c r="AC230" s="7"/>
      <c r="AD230" s="7"/>
      <c r="AE230" s="7"/>
      <c r="AF230" s="7"/>
      <c r="AG230" s="7"/>
      <c r="AH230" s="7"/>
      <c r="AI230" s="7"/>
      <c r="AJ230" s="7"/>
      <c r="AK230" s="7"/>
      <c r="AL230" s="7"/>
      <c r="AM230" s="7"/>
      <c r="AN230" s="7"/>
      <c r="AO230" s="7"/>
      <c r="AP230" s="7"/>
      <c r="AQ230" s="7"/>
      <c r="AR230" s="7"/>
      <c r="AS230" s="7"/>
      <c r="AT230" s="7"/>
      <c r="AU230" s="7"/>
      <c r="AV230" s="7"/>
      <c r="AW230" s="7"/>
      <c r="AX230" s="7"/>
      <c r="AY230" s="7"/>
      <c r="AZ230" s="7"/>
      <c r="BA230" s="7"/>
      <c r="BB230" s="7"/>
      <c r="BC230" s="7"/>
      <c r="BD230" s="7"/>
      <c r="BE230" s="7"/>
      <c r="BF230" s="7"/>
      <c r="BG230" s="7"/>
    </row>
    <row r="231" spans="1:59">
      <c r="A231" s="7"/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  <c r="AA231" s="7"/>
      <c r="AB231" s="7"/>
      <c r="AC231" s="7"/>
      <c r="AD231" s="7"/>
      <c r="AE231" s="7"/>
      <c r="AF231" s="7"/>
      <c r="AG231" s="7"/>
      <c r="AH231" s="7"/>
      <c r="AI231" s="7"/>
      <c r="AJ231" s="7"/>
      <c r="AK231" s="7"/>
      <c r="AL231" s="7"/>
      <c r="AM231" s="7"/>
      <c r="AN231" s="7"/>
      <c r="AO231" s="7"/>
      <c r="AP231" s="7"/>
      <c r="AQ231" s="7"/>
      <c r="AR231" s="7"/>
      <c r="AS231" s="7"/>
      <c r="AT231" s="7"/>
      <c r="AU231" s="7"/>
      <c r="AV231" s="7"/>
      <c r="AW231" s="7"/>
      <c r="AX231" s="7"/>
      <c r="AY231" s="7"/>
      <c r="AZ231" s="7"/>
      <c r="BA231" s="7"/>
      <c r="BB231" s="7"/>
      <c r="BC231" s="7"/>
      <c r="BD231" s="7"/>
      <c r="BE231" s="7"/>
      <c r="BF231" s="7"/>
      <c r="BG231" s="7"/>
    </row>
    <row r="232" spans="1:59">
      <c r="A232" s="7"/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  <c r="AA232" s="7"/>
      <c r="AB232" s="7"/>
      <c r="AC232" s="7"/>
      <c r="AD232" s="7"/>
      <c r="AE232" s="7"/>
      <c r="AF232" s="7"/>
      <c r="AG232" s="7"/>
      <c r="AH232" s="7"/>
      <c r="AI232" s="7"/>
      <c r="AJ232" s="7"/>
      <c r="AK232" s="7"/>
      <c r="AL232" s="7"/>
      <c r="AM232" s="7"/>
      <c r="AN232" s="7"/>
      <c r="AO232" s="7"/>
      <c r="AP232" s="7"/>
      <c r="AQ232" s="7"/>
      <c r="AR232" s="7"/>
      <c r="AS232" s="7"/>
      <c r="AT232" s="7"/>
      <c r="AU232" s="7"/>
      <c r="AV232" s="7"/>
      <c r="AW232" s="7"/>
      <c r="AX232" s="7"/>
      <c r="AY232" s="7"/>
      <c r="AZ232" s="7"/>
      <c r="BA232" s="7"/>
      <c r="BB232" s="7"/>
      <c r="BC232" s="7"/>
      <c r="BD232" s="7"/>
      <c r="BE232" s="7"/>
      <c r="BF232" s="7"/>
      <c r="BG232" s="7"/>
    </row>
    <row r="233" spans="1:59">
      <c r="A233" s="7"/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  <c r="AA233" s="7"/>
      <c r="AB233" s="7"/>
      <c r="AC233" s="7"/>
      <c r="AD233" s="7"/>
      <c r="AE233" s="7"/>
      <c r="AF233" s="7"/>
      <c r="AG233" s="7"/>
      <c r="AH233" s="7"/>
      <c r="AI233" s="7"/>
      <c r="AJ233" s="7"/>
      <c r="AK233" s="7"/>
      <c r="AL233" s="7"/>
      <c r="AM233" s="7"/>
      <c r="AN233" s="7"/>
      <c r="AO233" s="7"/>
      <c r="AP233" s="7"/>
      <c r="AQ233" s="7"/>
      <c r="AR233" s="7"/>
      <c r="AS233" s="7"/>
      <c r="AT233" s="7"/>
      <c r="AU233" s="7"/>
      <c r="AV233" s="7"/>
      <c r="AW233" s="7"/>
      <c r="AX233" s="7"/>
      <c r="AY233" s="7"/>
      <c r="AZ233" s="7"/>
      <c r="BA233" s="7"/>
      <c r="BB233" s="7"/>
      <c r="BC233" s="7"/>
      <c r="BD233" s="7"/>
      <c r="BE233" s="7"/>
      <c r="BF233" s="7"/>
      <c r="BG233" s="7"/>
    </row>
    <row r="234" spans="1:59">
      <c r="A234" s="7"/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  <c r="AA234" s="7"/>
      <c r="AB234" s="7"/>
      <c r="AC234" s="7"/>
      <c r="AD234" s="7"/>
      <c r="AE234" s="7"/>
      <c r="AF234" s="7"/>
      <c r="AG234" s="7"/>
      <c r="AH234" s="7"/>
      <c r="AI234" s="7"/>
      <c r="AJ234" s="7"/>
      <c r="AK234" s="7"/>
      <c r="AL234" s="7"/>
      <c r="AM234" s="7"/>
      <c r="AN234" s="7"/>
      <c r="AO234" s="7"/>
      <c r="AP234" s="7"/>
      <c r="AQ234" s="7"/>
      <c r="AR234" s="7"/>
      <c r="AS234" s="7"/>
      <c r="AT234" s="7"/>
      <c r="AU234" s="7"/>
      <c r="AV234" s="7"/>
      <c r="AW234" s="7"/>
      <c r="AX234" s="7"/>
      <c r="AY234" s="7"/>
      <c r="AZ234" s="7"/>
      <c r="BA234" s="7"/>
      <c r="BB234" s="7"/>
      <c r="BC234" s="7"/>
      <c r="BD234" s="7"/>
      <c r="BE234" s="7"/>
      <c r="BF234" s="7"/>
      <c r="BG234" s="7"/>
    </row>
    <row r="235" spans="1:59">
      <c r="A235" s="7"/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  <c r="AA235" s="7"/>
      <c r="AB235" s="7"/>
      <c r="AC235" s="7"/>
      <c r="AD235" s="7"/>
      <c r="AE235" s="7"/>
      <c r="AF235" s="7"/>
      <c r="AG235" s="7"/>
      <c r="AH235" s="7"/>
      <c r="AI235" s="7"/>
      <c r="AJ235" s="7"/>
      <c r="AK235" s="7"/>
      <c r="AL235" s="7"/>
      <c r="AM235" s="7"/>
      <c r="AN235" s="7"/>
      <c r="AO235" s="7"/>
      <c r="AP235" s="7"/>
      <c r="AQ235" s="7"/>
      <c r="AR235" s="7"/>
      <c r="AS235" s="7"/>
      <c r="AT235" s="7"/>
      <c r="AU235" s="7"/>
      <c r="AV235" s="7"/>
      <c r="AW235" s="7"/>
      <c r="AX235" s="7"/>
      <c r="AY235" s="7"/>
      <c r="AZ235" s="7"/>
      <c r="BA235" s="7"/>
      <c r="BB235" s="7"/>
      <c r="BC235" s="7"/>
      <c r="BD235" s="7"/>
      <c r="BE235" s="7"/>
      <c r="BF235" s="7"/>
      <c r="BG235" s="7"/>
    </row>
    <row r="236" spans="1:59">
      <c r="A236" s="7"/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  <c r="AA236" s="7"/>
      <c r="AB236" s="7"/>
      <c r="AC236" s="7"/>
      <c r="AD236" s="7"/>
      <c r="AE236" s="7"/>
      <c r="AF236" s="7"/>
      <c r="AG236" s="7"/>
      <c r="AH236" s="7"/>
      <c r="AI236" s="7"/>
      <c r="AJ236" s="7"/>
      <c r="AK236" s="7"/>
      <c r="AL236" s="7"/>
      <c r="AM236" s="7"/>
      <c r="AN236" s="7"/>
      <c r="AO236" s="7"/>
      <c r="AP236" s="7"/>
      <c r="AQ236" s="7"/>
      <c r="AR236" s="7"/>
      <c r="AS236" s="7"/>
      <c r="AT236" s="7"/>
      <c r="AU236" s="7"/>
      <c r="AV236" s="7"/>
      <c r="AW236" s="7"/>
      <c r="AX236" s="7"/>
      <c r="AY236" s="7"/>
      <c r="AZ236" s="7"/>
      <c r="BA236" s="7"/>
      <c r="BB236" s="7"/>
      <c r="BC236" s="7"/>
      <c r="BD236" s="7"/>
      <c r="BE236" s="7"/>
      <c r="BF236" s="7"/>
      <c r="BG236" s="7"/>
    </row>
    <row r="237" spans="1:59">
      <c r="A237" s="7"/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  <c r="AA237" s="7"/>
      <c r="AB237" s="7"/>
      <c r="AC237" s="7"/>
      <c r="AD237" s="7"/>
      <c r="AE237" s="7"/>
      <c r="AF237" s="7"/>
      <c r="AG237" s="7"/>
      <c r="AH237" s="7"/>
      <c r="AI237" s="7"/>
      <c r="AJ237" s="7"/>
      <c r="AK237" s="7"/>
      <c r="AL237" s="7"/>
      <c r="AM237" s="7"/>
      <c r="AN237" s="7"/>
      <c r="AO237" s="7"/>
      <c r="AP237" s="7"/>
      <c r="AQ237" s="7"/>
      <c r="AR237" s="7"/>
      <c r="AS237" s="7"/>
      <c r="AT237" s="7"/>
      <c r="AU237" s="7"/>
      <c r="AV237" s="7"/>
      <c r="AW237" s="7"/>
      <c r="AX237" s="7"/>
      <c r="AY237" s="7"/>
      <c r="AZ237" s="7"/>
      <c r="BA237" s="7"/>
      <c r="BB237" s="7"/>
      <c r="BC237" s="7"/>
      <c r="BD237" s="7"/>
      <c r="BE237" s="7"/>
      <c r="BF237" s="7"/>
      <c r="BG237" s="7"/>
    </row>
    <row r="238" spans="1:59">
      <c r="A238" s="7"/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  <c r="AA238" s="7"/>
      <c r="AB238" s="7"/>
      <c r="AC238" s="7"/>
      <c r="AD238" s="7"/>
      <c r="AE238" s="7"/>
      <c r="AF238" s="7"/>
      <c r="AG238" s="7"/>
      <c r="AH238" s="7"/>
      <c r="AI238" s="7"/>
      <c r="AJ238" s="7"/>
      <c r="AK238" s="7"/>
      <c r="AL238" s="7"/>
      <c r="AM238" s="7"/>
      <c r="AN238" s="7"/>
      <c r="AO238" s="7"/>
      <c r="AP238" s="7"/>
      <c r="AQ238" s="7"/>
      <c r="AR238" s="7"/>
      <c r="AS238" s="7"/>
      <c r="AT238" s="7"/>
      <c r="AU238" s="7"/>
      <c r="AV238" s="7"/>
      <c r="AW238" s="7"/>
      <c r="AX238" s="7"/>
      <c r="AY238" s="7"/>
      <c r="AZ238" s="7"/>
      <c r="BA238" s="7"/>
      <c r="BB238" s="7"/>
      <c r="BC238" s="7"/>
      <c r="BD238" s="7"/>
      <c r="BE238" s="7"/>
      <c r="BF238" s="7"/>
      <c r="BG238" s="7"/>
    </row>
    <row r="239" spans="1:59">
      <c r="A239" s="7"/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  <c r="AA239" s="7"/>
      <c r="AB239" s="7"/>
      <c r="AC239" s="7"/>
      <c r="AD239" s="7"/>
      <c r="AE239" s="7"/>
      <c r="AF239" s="7"/>
      <c r="AG239" s="7"/>
      <c r="AH239" s="7"/>
      <c r="AI239" s="7"/>
      <c r="AJ239" s="7"/>
      <c r="AK239" s="7"/>
      <c r="AL239" s="7"/>
      <c r="AM239" s="7"/>
      <c r="AN239" s="7"/>
      <c r="AO239" s="7"/>
      <c r="AP239" s="7"/>
      <c r="AQ239" s="7"/>
      <c r="AR239" s="7"/>
      <c r="AS239" s="7"/>
      <c r="AT239" s="7"/>
      <c r="AU239" s="7"/>
      <c r="AV239" s="7"/>
      <c r="AW239" s="7"/>
      <c r="AX239" s="7"/>
      <c r="AY239" s="7"/>
      <c r="AZ239" s="7"/>
      <c r="BA239" s="7"/>
      <c r="BB239" s="7"/>
      <c r="BC239" s="7"/>
      <c r="BD239" s="7"/>
      <c r="BE239" s="7"/>
      <c r="BF239" s="7"/>
      <c r="BG239" s="7"/>
    </row>
    <row r="240" spans="1:59">
      <c r="A240" s="7"/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  <c r="AA240" s="7"/>
      <c r="AB240" s="7"/>
      <c r="AC240" s="7"/>
      <c r="AD240" s="7"/>
      <c r="AE240" s="7"/>
      <c r="AF240" s="7"/>
      <c r="AG240" s="7"/>
      <c r="AH240" s="7"/>
      <c r="AI240" s="7"/>
      <c r="AJ240" s="7"/>
      <c r="AK240" s="7"/>
      <c r="AL240" s="7"/>
      <c r="AM240" s="7"/>
      <c r="AN240" s="7"/>
      <c r="AO240" s="7"/>
      <c r="AP240" s="7"/>
      <c r="AQ240" s="7"/>
      <c r="AR240" s="7"/>
      <c r="AS240" s="7"/>
      <c r="AT240" s="7"/>
      <c r="AU240" s="7"/>
      <c r="AV240" s="7"/>
      <c r="AW240" s="7"/>
      <c r="AX240" s="7"/>
      <c r="AY240" s="7"/>
      <c r="AZ240" s="7"/>
      <c r="BA240" s="7"/>
      <c r="BB240" s="7"/>
      <c r="BC240" s="7"/>
      <c r="BD240" s="7"/>
      <c r="BE240" s="7"/>
      <c r="BF240" s="7"/>
      <c r="BG240" s="7"/>
    </row>
    <row r="241" spans="1:59">
      <c r="A241" s="7"/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  <c r="AA241" s="7"/>
      <c r="AB241" s="7"/>
      <c r="AC241" s="7"/>
      <c r="AD241" s="7"/>
      <c r="AE241" s="7"/>
      <c r="AF241" s="7"/>
      <c r="AG241" s="7"/>
      <c r="AH241" s="7"/>
      <c r="AI241" s="7"/>
      <c r="AJ241" s="7"/>
      <c r="AK241" s="7"/>
      <c r="AL241" s="7"/>
      <c r="AM241" s="7"/>
      <c r="AN241" s="7"/>
      <c r="AO241" s="7"/>
      <c r="AP241" s="7"/>
      <c r="AQ241" s="7"/>
      <c r="AR241" s="7"/>
      <c r="AS241" s="7"/>
      <c r="AT241" s="7"/>
      <c r="AU241" s="7"/>
      <c r="AV241" s="7"/>
      <c r="AW241" s="7"/>
      <c r="AX241" s="7"/>
      <c r="AY241" s="7"/>
      <c r="AZ241" s="7"/>
      <c r="BA241" s="7"/>
      <c r="BB241" s="7"/>
      <c r="BC241" s="7"/>
      <c r="BD241" s="7"/>
      <c r="BE241" s="7"/>
      <c r="BF241" s="7"/>
      <c r="BG241" s="7"/>
    </row>
    <row r="242" spans="1:59">
      <c r="A242" s="7"/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  <c r="AA242" s="7"/>
      <c r="AB242" s="7"/>
      <c r="AC242" s="7"/>
      <c r="AD242" s="7"/>
      <c r="AE242" s="7"/>
      <c r="AF242" s="7"/>
      <c r="AG242" s="7"/>
      <c r="AH242" s="7"/>
      <c r="AI242" s="7"/>
      <c r="AJ242" s="7"/>
      <c r="AK242" s="7"/>
      <c r="AL242" s="7"/>
      <c r="AM242" s="7"/>
      <c r="AN242" s="7"/>
      <c r="AO242" s="7"/>
      <c r="AP242" s="7"/>
      <c r="AQ242" s="7"/>
      <c r="AR242" s="7"/>
      <c r="AS242" s="7"/>
      <c r="AT242" s="7"/>
      <c r="AU242" s="7"/>
      <c r="AV242" s="7"/>
      <c r="AW242" s="7"/>
      <c r="AX242" s="7"/>
      <c r="AY242" s="7"/>
      <c r="AZ242" s="7"/>
      <c r="BA242" s="7"/>
      <c r="BB242" s="7"/>
      <c r="BC242" s="7"/>
      <c r="BD242" s="7"/>
      <c r="BE242" s="7"/>
      <c r="BF242" s="7"/>
      <c r="BG242" s="7"/>
    </row>
    <row r="243" spans="1:59">
      <c r="A243" s="7"/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  <c r="AA243" s="7"/>
      <c r="AB243" s="7"/>
      <c r="AC243" s="7"/>
      <c r="AD243" s="7"/>
      <c r="AE243" s="7"/>
      <c r="AF243" s="7"/>
      <c r="AG243" s="7"/>
      <c r="AH243" s="7"/>
      <c r="AI243" s="7"/>
      <c r="AJ243" s="7"/>
      <c r="AK243" s="7"/>
      <c r="AL243" s="7"/>
      <c r="AM243" s="7"/>
      <c r="AN243" s="7"/>
      <c r="AO243" s="7"/>
      <c r="AP243" s="7"/>
      <c r="AQ243" s="7"/>
      <c r="AR243" s="7"/>
      <c r="AS243" s="7"/>
      <c r="AT243" s="7"/>
      <c r="AU243" s="7"/>
      <c r="AV243" s="7"/>
      <c r="AW243" s="7"/>
      <c r="AX243" s="7"/>
      <c r="AY243" s="7"/>
      <c r="AZ243" s="7"/>
      <c r="BA243" s="7"/>
      <c r="BB243" s="7"/>
      <c r="BC243" s="7"/>
      <c r="BD243" s="7"/>
      <c r="BE243" s="7"/>
      <c r="BF243" s="7"/>
      <c r="BG243" s="7"/>
    </row>
    <row r="244" spans="1:59">
      <c r="A244" s="7"/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  <c r="AA244" s="7"/>
      <c r="AB244" s="7"/>
      <c r="AC244" s="7"/>
      <c r="AD244" s="7"/>
      <c r="AE244" s="7"/>
      <c r="AF244" s="7"/>
      <c r="AG244" s="7"/>
      <c r="AH244" s="7"/>
      <c r="AI244" s="7"/>
      <c r="AJ244" s="7"/>
      <c r="AK244" s="7"/>
      <c r="AL244" s="7"/>
      <c r="AM244" s="7"/>
      <c r="AN244" s="7"/>
      <c r="AO244" s="7"/>
      <c r="AP244" s="7"/>
      <c r="AQ244" s="7"/>
      <c r="AR244" s="7"/>
      <c r="AS244" s="7"/>
      <c r="AT244" s="7"/>
      <c r="AU244" s="7"/>
      <c r="AV244" s="7"/>
      <c r="AW244" s="7"/>
      <c r="AX244" s="7"/>
      <c r="AY244" s="7"/>
      <c r="AZ244" s="7"/>
      <c r="BA244" s="7"/>
      <c r="BB244" s="7"/>
      <c r="BC244" s="7"/>
      <c r="BD244" s="7"/>
      <c r="BE244" s="7"/>
      <c r="BF244" s="7"/>
      <c r="BG244" s="7"/>
    </row>
    <row r="245" spans="1:59">
      <c r="A245" s="7"/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  <c r="AA245" s="7"/>
      <c r="AB245" s="7"/>
      <c r="AC245" s="7"/>
      <c r="AD245" s="7"/>
      <c r="AE245" s="7"/>
      <c r="AF245" s="7"/>
      <c r="AG245" s="7"/>
      <c r="AH245" s="7"/>
      <c r="AI245" s="7"/>
      <c r="AJ245" s="7"/>
      <c r="AK245" s="7"/>
      <c r="AL245" s="7"/>
      <c r="AM245" s="7"/>
      <c r="AN245" s="7"/>
      <c r="AO245" s="7"/>
      <c r="AP245" s="7"/>
      <c r="AQ245" s="7"/>
      <c r="AR245" s="7"/>
      <c r="AS245" s="7"/>
      <c r="AT245" s="7"/>
      <c r="AU245" s="7"/>
      <c r="AV245" s="7"/>
      <c r="AW245" s="7"/>
      <c r="AX245" s="7"/>
      <c r="AY245" s="7"/>
      <c r="AZ245" s="7"/>
      <c r="BA245" s="7"/>
      <c r="BB245" s="7"/>
      <c r="BC245" s="7"/>
      <c r="BD245" s="7"/>
      <c r="BE245" s="7"/>
      <c r="BF245" s="7"/>
      <c r="BG245" s="7"/>
    </row>
    <row r="246" spans="1:59">
      <c r="A246" s="7"/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  <c r="AA246" s="7"/>
      <c r="AB246" s="7"/>
      <c r="AC246" s="7"/>
      <c r="AD246" s="7"/>
      <c r="AE246" s="7"/>
      <c r="AF246" s="7"/>
      <c r="AG246" s="7"/>
      <c r="AH246" s="7"/>
      <c r="AI246" s="7"/>
      <c r="AJ246" s="7"/>
      <c r="AK246" s="7"/>
      <c r="AL246" s="7"/>
      <c r="AM246" s="7"/>
      <c r="AN246" s="7"/>
      <c r="AO246" s="7"/>
      <c r="AP246" s="7"/>
      <c r="AQ246" s="7"/>
      <c r="AR246" s="7"/>
      <c r="AS246" s="7"/>
      <c r="AT246" s="7"/>
      <c r="AU246" s="7"/>
      <c r="AV246" s="7"/>
      <c r="AW246" s="7"/>
      <c r="AX246" s="7"/>
      <c r="AY246" s="7"/>
      <c r="AZ246" s="7"/>
      <c r="BA246" s="7"/>
      <c r="BB246" s="7"/>
      <c r="BC246" s="7"/>
      <c r="BD246" s="7"/>
      <c r="BE246" s="7"/>
      <c r="BF246" s="7"/>
      <c r="BG246" s="7"/>
    </row>
    <row r="247" spans="1:59">
      <c r="A247" s="7"/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  <c r="AA247" s="7"/>
      <c r="AB247" s="7"/>
      <c r="AC247" s="7"/>
      <c r="AD247" s="7"/>
      <c r="AE247" s="7"/>
      <c r="AF247" s="7"/>
      <c r="AG247" s="7"/>
      <c r="AH247" s="7"/>
      <c r="AI247" s="7"/>
      <c r="AJ247" s="7"/>
      <c r="AK247" s="7"/>
      <c r="AL247" s="7"/>
      <c r="AM247" s="7"/>
      <c r="AN247" s="7"/>
      <c r="AO247" s="7"/>
      <c r="AP247" s="7"/>
      <c r="AQ247" s="7"/>
      <c r="AR247" s="7"/>
      <c r="AS247" s="7"/>
      <c r="AT247" s="7"/>
      <c r="AU247" s="7"/>
      <c r="AV247" s="7"/>
      <c r="AW247" s="7"/>
      <c r="AX247" s="7"/>
      <c r="AY247" s="7"/>
      <c r="AZ247" s="7"/>
      <c r="BA247" s="7"/>
      <c r="BB247" s="7"/>
      <c r="BC247" s="7"/>
      <c r="BD247" s="7"/>
      <c r="BE247" s="7"/>
      <c r="BF247" s="7"/>
      <c r="BG247" s="7"/>
    </row>
    <row r="248" spans="1:59">
      <c r="A248" s="7"/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  <c r="AA248" s="7"/>
      <c r="AB248" s="7"/>
      <c r="AC248" s="7"/>
      <c r="AD248" s="7"/>
      <c r="AE248" s="7"/>
      <c r="AF248" s="7"/>
      <c r="AG248" s="7"/>
      <c r="AH248" s="7"/>
      <c r="AI248" s="7"/>
      <c r="AJ248" s="7"/>
      <c r="AK248" s="7"/>
      <c r="AL248" s="7"/>
      <c r="AM248" s="7"/>
      <c r="AN248" s="7"/>
      <c r="AO248" s="7"/>
      <c r="AP248" s="7"/>
      <c r="AQ248" s="7"/>
      <c r="AR248" s="7"/>
      <c r="AS248" s="7"/>
      <c r="AT248" s="7"/>
      <c r="AU248" s="7"/>
      <c r="AV248" s="7"/>
      <c r="AW248" s="7"/>
      <c r="AX248" s="7"/>
      <c r="AY248" s="7"/>
      <c r="AZ248" s="7"/>
      <c r="BA248" s="7"/>
      <c r="BB248" s="7"/>
      <c r="BC248" s="7"/>
      <c r="BD248" s="7"/>
      <c r="BE248" s="7"/>
      <c r="BF248" s="7"/>
      <c r="BG248" s="7"/>
    </row>
    <row r="249" spans="1:59">
      <c r="A249" s="7"/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  <c r="AA249" s="7"/>
      <c r="AB249" s="7"/>
      <c r="AC249" s="7"/>
      <c r="AD249" s="7"/>
      <c r="AE249" s="7"/>
      <c r="AF249" s="7"/>
      <c r="AG249" s="7"/>
      <c r="AH249" s="7"/>
      <c r="AI249" s="7"/>
      <c r="AJ249" s="7"/>
      <c r="AK249" s="7"/>
      <c r="AL249" s="7"/>
      <c r="AM249" s="7"/>
      <c r="AN249" s="7"/>
      <c r="AO249" s="7"/>
      <c r="AP249" s="7"/>
      <c r="AQ249" s="7"/>
      <c r="AR249" s="7"/>
      <c r="AS249" s="7"/>
      <c r="AT249" s="7"/>
      <c r="AU249" s="7"/>
      <c r="AV249" s="7"/>
      <c r="AW249" s="7"/>
      <c r="AX249" s="7"/>
      <c r="AY249" s="7"/>
      <c r="AZ249" s="7"/>
      <c r="BA249" s="7"/>
      <c r="BB249" s="7"/>
      <c r="BC249" s="7"/>
      <c r="BD249" s="7"/>
      <c r="BE249" s="7"/>
      <c r="BF249" s="7"/>
      <c r="BG249" s="7"/>
    </row>
    <row r="250" spans="1:59">
      <c r="A250" s="7"/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  <c r="AA250" s="7"/>
      <c r="AB250" s="7"/>
      <c r="AC250" s="7"/>
      <c r="AD250" s="7"/>
      <c r="AE250" s="7"/>
      <c r="AF250" s="7"/>
      <c r="AG250" s="7"/>
      <c r="AH250" s="7"/>
      <c r="AI250" s="7"/>
      <c r="AJ250" s="7"/>
      <c r="AK250" s="7"/>
      <c r="AL250" s="7"/>
      <c r="AM250" s="7"/>
      <c r="AN250" s="7"/>
      <c r="AO250" s="7"/>
      <c r="AP250" s="7"/>
      <c r="AQ250" s="7"/>
      <c r="AR250" s="7"/>
      <c r="AS250" s="7"/>
      <c r="AT250" s="7"/>
      <c r="AU250" s="7"/>
      <c r="AV250" s="7"/>
      <c r="AW250" s="7"/>
      <c r="AX250" s="7"/>
      <c r="AY250" s="7"/>
      <c r="AZ250" s="7"/>
      <c r="BA250" s="7"/>
      <c r="BB250" s="7"/>
      <c r="BC250" s="7"/>
      <c r="BD250" s="7"/>
      <c r="BE250" s="7"/>
      <c r="BF250" s="7"/>
      <c r="BG250" s="7"/>
    </row>
    <row r="251" spans="1:59">
      <c r="A251" s="7"/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  <c r="AA251" s="7"/>
      <c r="AB251" s="7"/>
      <c r="AC251" s="7"/>
      <c r="AD251" s="7"/>
      <c r="AE251" s="7"/>
      <c r="AF251" s="7"/>
      <c r="AG251" s="7"/>
      <c r="AH251" s="7"/>
      <c r="AI251" s="7"/>
      <c r="AJ251" s="7"/>
      <c r="AK251" s="7"/>
      <c r="AL251" s="7"/>
      <c r="AM251" s="7"/>
      <c r="AN251" s="7"/>
      <c r="AO251" s="7"/>
      <c r="AP251" s="7"/>
      <c r="AQ251" s="7"/>
      <c r="AR251" s="7"/>
      <c r="AS251" s="7"/>
      <c r="AT251" s="7"/>
      <c r="AU251" s="7"/>
      <c r="AV251" s="7"/>
      <c r="AW251" s="7"/>
      <c r="AX251" s="7"/>
      <c r="AY251" s="7"/>
      <c r="AZ251" s="7"/>
      <c r="BA251" s="7"/>
      <c r="BB251" s="7"/>
      <c r="BC251" s="7"/>
      <c r="BD251" s="7"/>
      <c r="BE251" s="7"/>
      <c r="BF251" s="7"/>
      <c r="BG251" s="7"/>
    </row>
    <row r="252" spans="1:59">
      <c r="A252" s="7"/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  <c r="AA252" s="7"/>
      <c r="AB252" s="7"/>
      <c r="AC252" s="7"/>
      <c r="AD252" s="7"/>
      <c r="AE252" s="7"/>
      <c r="AF252" s="7"/>
      <c r="AG252" s="7"/>
      <c r="AH252" s="7"/>
      <c r="AI252" s="7"/>
      <c r="AJ252" s="7"/>
      <c r="AK252" s="7"/>
      <c r="AL252" s="7"/>
      <c r="AM252" s="7"/>
      <c r="AN252" s="7"/>
      <c r="AO252" s="7"/>
      <c r="AP252" s="7"/>
      <c r="AQ252" s="7"/>
      <c r="AR252" s="7"/>
      <c r="AS252" s="7"/>
      <c r="AT252" s="7"/>
      <c r="AU252" s="7"/>
      <c r="AV252" s="7"/>
      <c r="AW252" s="7"/>
      <c r="AX252" s="7"/>
      <c r="AY252" s="7"/>
      <c r="AZ252" s="7"/>
      <c r="BA252" s="7"/>
      <c r="BB252" s="7"/>
      <c r="BC252" s="7"/>
      <c r="BD252" s="7"/>
      <c r="BE252" s="7"/>
      <c r="BF252" s="7"/>
      <c r="BG252" s="7"/>
    </row>
    <row r="253" spans="1:59">
      <c r="A253" s="7"/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  <c r="AA253" s="7"/>
      <c r="AB253" s="7"/>
      <c r="AC253" s="7"/>
      <c r="AD253" s="7"/>
      <c r="AE253" s="7"/>
      <c r="AF253" s="7"/>
      <c r="AG253" s="7"/>
      <c r="AH253" s="7"/>
      <c r="AI253" s="7"/>
      <c r="AJ253" s="7"/>
      <c r="AK253" s="7"/>
      <c r="AL253" s="7"/>
      <c r="AM253" s="7"/>
      <c r="AN253" s="7"/>
      <c r="AO253" s="7"/>
      <c r="AP253" s="7"/>
      <c r="AQ253" s="7"/>
      <c r="AR253" s="7"/>
      <c r="AS253" s="7"/>
      <c r="AT253" s="7"/>
      <c r="AU253" s="7"/>
      <c r="AV253" s="7"/>
      <c r="AW253" s="7"/>
      <c r="AX253" s="7"/>
      <c r="AY253" s="7"/>
      <c r="AZ253" s="7"/>
      <c r="BA253" s="7"/>
      <c r="BB253" s="7"/>
      <c r="BC253" s="7"/>
      <c r="BD253" s="7"/>
      <c r="BE253" s="7"/>
      <c r="BF253" s="7"/>
      <c r="BG253" s="7"/>
    </row>
    <row r="254" spans="1:59">
      <c r="A254" s="7"/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  <c r="AA254" s="7"/>
      <c r="AB254" s="7"/>
      <c r="AC254" s="7"/>
      <c r="AD254" s="7"/>
      <c r="AE254" s="7"/>
      <c r="AF254" s="7"/>
      <c r="AG254" s="7"/>
      <c r="AH254" s="7"/>
      <c r="AI254" s="7"/>
      <c r="AJ254" s="7"/>
      <c r="AK254" s="7"/>
      <c r="AL254" s="7"/>
      <c r="AM254" s="7"/>
      <c r="AN254" s="7"/>
      <c r="AO254" s="7"/>
      <c r="AP254" s="7"/>
      <c r="AQ254" s="7"/>
      <c r="AR254" s="7"/>
      <c r="AS254" s="7"/>
      <c r="AT254" s="7"/>
      <c r="AU254" s="7"/>
      <c r="AV254" s="7"/>
      <c r="AW254" s="7"/>
      <c r="AX254" s="7"/>
      <c r="AY254" s="7"/>
      <c r="AZ254" s="7"/>
      <c r="BA254" s="7"/>
      <c r="BB254" s="7"/>
      <c r="BC254" s="7"/>
      <c r="BD254" s="7"/>
      <c r="BE254" s="7"/>
      <c r="BF254" s="7"/>
      <c r="BG254" s="7"/>
    </row>
    <row r="255" spans="1:59">
      <c r="A255" s="7"/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  <c r="AA255" s="7"/>
      <c r="AB255" s="7"/>
      <c r="AC255" s="7"/>
      <c r="AD255" s="7"/>
      <c r="AE255" s="7"/>
      <c r="AF255" s="7"/>
      <c r="AG255" s="7"/>
      <c r="AH255" s="7"/>
      <c r="AI255" s="7"/>
      <c r="AJ255" s="7"/>
      <c r="AK255" s="7"/>
      <c r="AL255" s="7"/>
      <c r="AM255" s="7"/>
      <c r="AN255" s="7"/>
      <c r="AO255" s="7"/>
      <c r="AP255" s="7"/>
      <c r="AQ255" s="7"/>
      <c r="AR255" s="7"/>
      <c r="AS255" s="7"/>
      <c r="AT255" s="7"/>
      <c r="AU255" s="7"/>
      <c r="AV255" s="7"/>
      <c r="AW255" s="7"/>
      <c r="AX255" s="7"/>
      <c r="AY255" s="7"/>
      <c r="AZ255" s="7"/>
      <c r="BA255" s="7"/>
      <c r="BB255" s="7"/>
      <c r="BC255" s="7"/>
      <c r="BD255" s="7"/>
      <c r="BE255" s="7"/>
      <c r="BF255" s="7"/>
      <c r="BG255" s="7"/>
    </row>
    <row r="256" spans="1:59">
      <c r="A256" s="7"/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  <c r="AA256" s="7"/>
      <c r="AB256" s="7"/>
      <c r="AC256" s="7"/>
      <c r="AD256" s="7"/>
      <c r="AE256" s="7"/>
      <c r="AF256" s="7"/>
      <c r="AG256" s="7"/>
      <c r="AH256" s="7"/>
      <c r="AI256" s="7"/>
      <c r="AJ256" s="7"/>
      <c r="AK256" s="7"/>
      <c r="AL256" s="7"/>
      <c r="AM256" s="7"/>
      <c r="AN256" s="7"/>
      <c r="AO256" s="7"/>
      <c r="AP256" s="7"/>
      <c r="AQ256" s="7"/>
      <c r="AR256" s="7"/>
      <c r="AS256" s="7"/>
      <c r="AT256" s="7"/>
      <c r="AU256" s="7"/>
      <c r="AV256" s="7"/>
      <c r="AW256" s="7"/>
      <c r="AX256" s="7"/>
      <c r="AY256" s="7"/>
      <c r="AZ256" s="7"/>
      <c r="BA256" s="7"/>
      <c r="BB256" s="7"/>
      <c r="BC256" s="7"/>
      <c r="BD256" s="7"/>
      <c r="BE256" s="7"/>
      <c r="BF256" s="7"/>
      <c r="BG256" s="7"/>
    </row>
    <row r="257" spans="1:59">
      <c r="A257" s="7"/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  <c r="AA257" s="7"/>
      <c r="AB257" s="7"/>
      <c r="AC257" s="7"/>
      <c r="AD257" s="7"/>
      <c r="AE257" s="7"/>
      <c r="AF257" s="7"/>
      <c r="AG257" s="7"/>
      <c r="AH257" s="7"/>
      <c r="AI257" s="7"/>
      <c r="AJ257" s="7"/>
      <c r="AK257" s="7"/>
      <c r="AL257" s="7"/>
      <c r="AM257" s="7"/>
      <c r="AN257" s="7"/>
      <c r="AO257" s="7"/>
      <c r="AP257" s="7"/>
      <c r="AQ257" s="7"/>
      <c r="AR257" s="7"/>
      <c r="AS257" s="7"/>
      <c r="AT257" s="7"/>
      <c r="AU257" s="7"/>
      <c r="AV257" s="7"/>
      <c r="AW257" s="7"/>
      <c r="AX257" s="7"/>
      <c r="AY257" s="7"/>
      <c r="AZ257" s="7"/>
      <c r="BA257" s="7"/>
      <c r="BB257" s="7"/>
      <c r="BC257" s="7"/>
      <c r="BD257" s="7"/>
      <c r="BE257" s="7"/>
      <c r="BF257" s="7"/>
      <c r="BG257" s="7"/>
    </row>
    <row r="258" spans="1:59">
      <c r="A258" s="7"/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  <c r="AA258" s="7"/>
      <c r="AB258" s="7"/>
      <c r="AC258" s="7"/>
      <c r="AD258" s="7"/>
      <c r="AE258" s="7"/>
      <c r="AF258" s="7"/>
      <c r="AG258" s="7"/>
      <c r="AH258" s="7"/>
      <c r="AI258" s="7"/>
      <c r="AJ258" s="7"/>
      <c r="AK258" s="7"/>
      <c r="AL258" s="7"/>
      <c r="AM258" s="7"/>
      <c r="AN258" s="7"/>
      <c r="AO258" s="7"/>
      <c r="AP258" s="7"/>
      <c r="AQ258" s="7"/>
      <c r="AR258" s="7"/>
      <c r="AS258" s="7"/>
      <c r="AT258" s="7"/>
      <c r="AU258" s="7"/>
      <c r="AV258" s="7"/>
      <c r="AW258" s="7"/>
      <c r="AX258" s="7"/>
      <c r="AY258" s="7"/>
      <c r="AZ258" s="7"/>
      <c r="BA258" s="7"/>
      <c r="BB258" s="7"/>
      <c r="BC258" s="7"/>
      <c r="BD258" s="7"/>
      <c r="BE258" s="7"/>
      <c r="BF258" s="7"/>
      <c r="BG258" s="7"/>
    </row>
    <row r="259" spans="1:59">
      <c r="A259" s="7"/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  <c r="AA259" s="7"/>
      <c r="AB259" s="7"/>
      <c r="AC259" s="7"/>
      <c r="AD259" s="7"/>
      <c r="AE259" s="7"/>
      <c r="AF259" s="7"/>
      <c r="AG259" s="7"/>
      <c r="AH259" s="7"/>
      <c r="AI259" s="7"/>
      <c r="AJ259" s="7"/>
      <c r="AK259" s="7"/>
      <c r="AL259" s="7"/>
      <c r="AM259" s="7"/>
      <c r="AN259" s="7"/>
      <c r="AO259" s="7"/>
      <c r="AP259" s="7"/>
      <c r="AQ259" s="7"/>
      <c r="AR259" s="7"/>
      <c r="AS259" s="7"/>
      <c r="AT259" s="7"/>
      <c r="AU259" s="7"/>
      <c r="AV259" s="7"/>
      <c r="AW259" s="7"/>
      <c r="AX259" s="7"/>
      <c r="AY259" s="7"/>
      <c r="AZ259" s="7"/>
      <c r="BA259" s="7"/>
      <c r="BB259" s="7"/>
      <c r="BC259" s="7"/>
      <c r="BD259" s="7"/>
      <c r="BE259" s="7"/>
      <c r="BF259" s="7"/>
      <c r="BG259" s="7"/>
    </row>
    <row r="260" spans="1:59">
      <c r="A260" s="7"/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  <c r="AA260" s="7"/>
      <c r="AB260" s="7"/>
      <c r="AC260" s="7"/>
      <c r="AD260" s="7"/>
      <c r="AE260" s="7"/>
      <c r="AF260" s="7"/>
      <c r="AG260" s="7"/>
      <c r="AH260" s="7"/>
      <c r="AI260" s="7"/>
      <c r="AJ260" s="7"/>
      <c r="AK260" s="7"/>
      <c r="AL260" s="7"/>
      <c r="AM260" s="7"/>
      <c r="AN260" s="7"/>
      <c r="AO260" s="7"/>
      <c r="AP260" s="7"/>
      <c r="AQ260" s="7"/>
      <c r="AR260" s="7"/>
      <c r="AS260" s="7"/>
      <c r="AT260" s="7"/>
      <c r="AU260" s="7"/>
      <c r="AV260" s="7"/>
      <c r="AW260" s="7"/>
      <c r="AX260" s="7"/>
      <c r="AY260" s="7"/>
      <c r="AZ260" s="7"/>
      <c r="BA260" s="7"/>
      <c r="BB260" s="7"/>
      <c r="BC260" s="7"/>
      <c r="BD260" s="7"/>
      <c r="BE260" s="7"/>
      <c r="BF260" s="7"/>
      <c r="BG260" s="7"/>
    </row>
    <row r="261" spans="1:59">
      <c r="A261" s="7"/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  <c r="AA261" s="7"/>
      <c r="AB261" s="7"/>
      <c r="AC261" s="7"/>
      <c r="AD261" s="7"/>
      <c r="AE261" s="7"/>
      <c r="AF261" s="7"/>
      <c r="AG261" s="7"/>
      <c r="AH261" s="7"/>
      <c r="AI261" s="7"/>
      <c r="AJ261" s="7"/>
      <c r="AK261" s="7"/>
      <c r="AL261" s="7"/>
      <c r="AM261" s="7"/>
      <c r="AN261" s="7"/>
      <c r="AO261" s="7"/>
      <c r="AP261" s="7"/>
      <c r="AQ261" s="7"/>
      <c r="AR261" s="7"/>
      <c r="AS261" s="7"/>
      <c r="AT261" s="7"/>
      <c r="AU261" s="7"/>
      <c r="AV261" s="7"/>
      <c r="AW261" s="7"/>
      <c r="AX261" s="7"/>
      <c r="AY261" s="7"/>
      <c r="AZ261" s="7"/>
      <c r="BA261" s="7"/>
      <c r="BB261" s="7"/>
      <c r="BC261" s="7"/>
      <c r="BD261" s="7"/>
      <c r="BE261" s="7"/>
      <c r="BF261" s="7"/>
      <c r="BG261" s="7"/>
    </row>
    <row r="262" spans="1:59">
      <c r="A262" s="7"/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  <c r="AA262" s="7"/>
      <c r="AB262" s="7"/>
      <c r="AC262" s="7"/>
      <c r="AD262" s="7"/>
      <c r="AE262" s="7"/>
      <c r="AF262" s="7"/>
      <c r="AG262" s="7"/>
      <c r="AH262" s="7"/>
      <c r="AI262" s="7"/>
      <c r="AJ262" s="7"/>
      <c r="AK262" s="7"/>
      <c r="AL262" s="7"/>
      <c r="AM262" s="7"/>
      <c r="AN262" s="7"/>
      <c r="AO262" s="7"/>
      <c r="AP262" s="7"/>
      <c r="AQ262" s="7"/>
      <c r="AR262" s="7"/>
      <c r="AS262" s="7"/>
      <c r="AT262" s="7"/>
      <c r="AU262" s="7"/>
      <c r="AV262" s="7"/>
      <c r="AW262" s="7"/>
      <c r="AX262" s="7"/>
      <c r="AY262" s="7"/>
      <c r="AZ262" s="7"/>
      <c r="BA262" s="7"/>
      <c r="BB262" s="7"/>
      <c r="BC262" s="7"/>
      <c r="BD262" s="7"/>
      <c r="BE262" s="7"/>
      <c r="BF262" s="7"/>
      <c r="BG262" s="7"/>
    </row>
    <row r="263" spans="1:59">
      <c r="A263" s="7"/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  <c r="AA263" s="7"/>
      <c r="AB263" s="7"/>
      <c r="AC263" s="7"/>
      <c r="AD263" s="7"/>
      <c r="AE263" s="7"/>
      <c r="AF263" s="7"/>
      <c r="AG263" s="7"/>
      <c r="AH263" s="7"/>
      <c r="AI263" s="7"/>
      <c r="AJ263" s="7"/>
      <c r="AK263" s="7"/>
      <c r="AL263" s="7"/>
      <c r="AM263" s="7"/>
      <c r="AN263" s="7"/>
      <c r="AO263" s="7"/>
      <c r="AP263" s="7"/>
      <c r="AQ263" s="7"/>
      <c r="AR263" s="7"/>
      <c r="AS263" s="7"/>
      <c r="AT263" s="7"/>
      <c r="AU263" s="7"/>
      <c r="AV263" s="7"/>
      <c r="AW263" s="7"/>
      <c r="AX263" s="7"/>
      <c r="AY263" s="7"/>
      <c r="AZ263" s="7"/>
      <c r="BA263" s="7"/>
      <c r="BB263" s="7"/>
      <c r="BC263" s="7"/>
      <c r="BD263" s="7"/>
      <c r="BE263" s="7"/>
      <c r="BF263" s="7"/>
      <c r="BG263" s="7"/>
    </row>
    <row r="264" spans="1:59">
      <c r="A264" s="7"/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  <c r="AA264" s="7"/>
      <c r="AB264" s="7"/>
      <c r="AC264" s="7"/>
      <c r="AD264" s="7"/>
      <c r="AE264" s="7"/>
      <c r="AF264" s="7"/>
      <c r="AG264" s="7"/>
      <c r="AH264" s="7"/>
      <c r="AI264" s="7"/>
      <c r="AJ264" s="7"/>
      <c r="AK264" s="7"/>
      <c r="AL264" s="7"/>
      <c r="AM264" s="7"/>
      <c r="AN264" s="7"/>
      <c r="AO264" s="7"/>
      <c r="AP264" s="7"/>
      <c r="AQ264" s="7"/>
      <c r="AR264" s="7"/>
      <c r="AS264" s="7"/>
      <c r="AT264" s="7"/>
      <c r="AU264" s="7"/>
      <c r="AV264" s="7"/>
      <c r="AW264" s="7"/>
      <c r="AX264" s="7"/>
      <c r="AY264" s="7"/>
      <c r="AZ264" s="7"/>
      <c r="BA264" s="7"/>
      <c r="BB264" s="7"/>
      <c r="BC264" s="7"/>
      <c r="BD264" s="7"/>
      <c r="BE264" s="7"/>
      <c r="BF264" s="7"/>
      <c r="BG264" s="7"/>
    </row>
    <row r="265" spans="1:59">
      <c r="A265" s="7"/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  <c r="AA265" s="7"/>
      <c r="AB265" s="7"/>
      <c r="AC265" s="7"/>
      <c r="AD265" s="7"/>
      <c r="AE265" s="7"/>
      <c r="AF265" s="7"/>
      <c r="AG265" s="7"/>
      <c r="AH265" s="7"/>
      <c r="AI265" s="7"/>
      <c r="AJ265" s="7"/>
      <c r="AK265" s="7"/>
      <c r="AL265" s="7"/>
      <c r="AM265" s="7"/>
      <c r="AN265" s="7"/>
      <c r="AO265" s="7"/>
      <c r="AP265" s="7"/>
      <c r="AQ265" s="7"/>
      <c r="AR265" s="7"/>
      <c r="AS265" s="7"/>
      <c r="AT265" s="7"/>
      <c r="AU265" s="7"/>
      <c r="AV265" s="7"/>
      <c r="AW265" s="7"/>
      <c r="AX265" s="7"/>
      <c r="AY265" s="7"/>
      <c r="AZ265" s="7"/>
      <c r="BA265" s="7"/>
      <c r="BB265" s="7"/>
      <c r="BC265" s="7"/>
      <c r="BD265" s="7"/>
      <c r="BE265" s="7"/>
      <c r="BF265" s="7"/>
      <c r="BG265" s="7"/>
    </row>
    <row r="266" spans="1:59">
      <c r="A266" s="7"/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  <c r="AA266" s="7"/>
      <c r="AB266" s="7"/>
      <c r="AC266" s="7"/>
      <c r="AD266" s="7"/>
      <c r="AE266" s="7"/>
      <c r="AF266" s="7"/>
      <c r="AG266" s="7"/>
      <c r="AH266" s="7"/>
      <c r="AI266" s="7"/>
      <c r="AJ266" s="7"/>
      <c r="AK266" s="7"/>
      <c r="AL266" s="7"/>
      <c r="AM266" s="7"/>
      <c r="AN266" s="7"/>
      <c r="AO266" s="7"/>
      <c r="AP266" s="7"/>
      <c r="AQ266" s="7"/>
      <c r="AR266" s="7"/>
      <c r="AS266" s="7"/>
      <c r="AT266" s="7"/>
      <c r="AU266" s="7"/>
      <c r="AV266" s="7"/>
      <c r="AW266" s="7"/>
      <c r="AX266" s="7"/>
      <c r="AY266" s="7"/>
      <c r="AZ266" s="7"/>
      <c r="BA266" s="7"/>
      <c r="BB266" s="7"/>
      <c r="BC266" s="7"/>
      <c r="BD266" s="7"/>
      <c r="BE266" s="7"/>
      <c r="BF266" s="7"/>
      <c r="BG266" s="7"/>
    </row>
    <row r="267" spans="1:59">
      <c r="A267" s="7"/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  <c r="AA267" s="7"/>
      <c r="AB267" s="7"/>
      <c r="AC267" s="7"/>
      <c r="AD267" s="7"/>
      <c r="AE267" s="7"/>
      <c r="AF267" s="7"/>
      <c r="AG267" s="7"/>
      <c r="AH267" s="7"/>
      <c r="AI267" s="7"/>
      <c r="AJ267" s="7"/>
      <c r="AK267" s="7"/>
      <c r="AL267" s="7"/>
      <c r="AM267" s="7"/>
      <c r="AN267" s="7"/>
      <c r="AO267" s="7"/>
      <c r="AP267" s="7"/>
      <c r="AQ267" s="7"/>
      <c r="AR267" s="7"/>
      <c r="AS267" s="7"/>
      <c r="AT267" s="7"/>
      <c r="AU267" s="7"/>
      <c r="AV267" s="7"/>
      <c r="AW267" s="7"/>
      <c r="AX267" s="7"/>
      <c r="AY267" s="7"/>
      <c r="AZ267" s="7"/>
      <c r="BA267" s="7"/>
      <c r="BB267" s="7"/>
      <c r="BC267" s="7"/>
      <c r="BD267" s="7"/>
      <c r="BE267" s="7"/>
      <c r="BF267" s="7"/>
      <c r="BG267" s="7"/>
    </row>
    <row r="268" spans="1:59">
      <c r="A268" s="7"/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  <c r="AA268" s="7"/>
      <c r="AB268" s="7"/>
      <c r="AC268" s="7"/>
      <c r="AD268" s="7"/>
      <c r="AE268" s="7"/>
      <c r="AF268" s="7"/>
      <c r="AG268" s="7"/>
      <c r="AH268" s="7"/>
      <c r="AI268" s="7"/>
      <c r="AJ268" s="7"/>
      <c r="AK268" s="7"/>
      <c r="AL268" s="7"/>
      <c r="AM268" s="7"/>
      <c r="AN268" s="7"/>
      <c r="AO268" s="7"/>
      <c r="AP268" s="7"/>
      <c r="AQ268" s="7"/>
      <c r="AR268" s="7"/>
      <c r="AS268" s="7"/>
      <c r="AT268" s="7"/>
      <c r="AU268" s="7"/>
      <c r="AV268" s="7"/>
      <c r="AW268" s="7"/>
      <c r="AX268" s="7"/>
      <c r="AY268" s="7"/>
      <c r="AZ268" s="7"/>
      <c r="BA268" s="7"/>
      <c r="BB268" s="7"/>
      <c r="BC268" s="7"/>
      <c r="BD268" s="7"/>
      <c r="BE268" s="7"/>
      <c r="BF268" s="7"/>
      <c r="BG268" s="7"/>
    </row>
    <row r="269" spans="1:59">
      <c r="A269" s="7"/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  <c r="AA269" s="7"/>
      <c r="AB269" s="7"/>
      <c r="AC269" s="7"/>
      <c r="AD269" s="7"/>
      <c r="AE269" s="7"/>
      <c r="AF269" s="7"/>
      <c r="AG269" s="7"/>
      <c r="AH269" s="7"/>
      <c r="AI269" s="7"/>
      <c r="AJ269" s="7"/>
      <c r="AK269" s="7"/>
      <c r="AL269" s="7"/>
      <c r="AM269" s="7"/>
      <c r="AN269" s="7"/>
      <c r="AO269" s="7"/>
      <c r="AP269" s="7"/>
      <c r="AQ269" s="7"/>
      <c r="AR269" s="7"/>
      <c r="AS269" s="7"/>
      <c r="AT269" s="7"/>
      <c r="AU269" s="7"/>
      <c r="AV269" s="7"/>
      <c r="AW269" s="7"/>
      <c r="AX269" s="7"/>
      <c r="AY269" s="7"/>
      <c r="AZ269" s="7"/>
      <c r="BA269" s="7"/>
      <c r="BB269" s="7"/>
      <c r="BC269" s="7"/>
      <c r="BD269" s="7"/>
      <c r="BE269" s="7"/>
      <c r="BF269" s="7"/>
      <c r="BG269" s="7"/>
    </row>
    <row r="270" spans="1:59">
      <c r="A270" s="7"/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  <c r="AA270" s="7"/>
      <c r="AB270" s="7"/>
      <c r="AC270" s="7"/>
      <c r="AD270" s="7"/>
      <c r="AE270" s="7"/>
      <c r="AF270" s="7"/>
      <c r="AG270" s="7"/>
      <c r="AH270" s="7"/>
      <c r="AI270" s="7"/>
      <c r="AJ270" s="7"/>
      <c r="AK270" s="7"/>
      <c r="AL270" s="7"/>
      <c r="AM270" s="7"/>
      <c r="AN270" s="7"/>
      <c r="AO270" s="7"/>
      <c r="AP270" s="7"/>
      <c r="AQ270" s="7"/>
      <c r="AR270" s="7"/>
      <c r="AS270" s="7"/>
      <c r="AT270" s="7"/>
      <c r="AU270" s="7"/>
      <c r="AV270" s="7"/>
      <c r="AW270" s="7"/>
      <c r="AX270" s="7"/>
      <c r="AY270" s="7"/>
      <c r="AZ270" s="7"/>
      <c r="BA270" s="7"/>
      <c r="BB270" s="7"/>
      <c r="BC270" s="7"/>
      <c r="BD270" s="7"/>
      <c r="BE270" s="7"/>
      <c r="BF270" s="7"/>
      <c r="BG270" s="7"/>
    </row>
    <row r="271" spans="1:59">
      <c r="A271" s="7"/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  <c r="AA271" s="7"/>
      <c r="AB271" s="7"/>
      <c r="AC271" s="7"/>
      <c r="AD271" s="7"/>
      <c r="AE271" s="7"/>
      <c r="AF271" s="7"/>
      <c r="AG271" s="7"/>
      <c r="AH271" s="7"/>
      <c r="AI271" s="7"/>
      <c r="AJ271" s="7"/>
      <c r="AK271" s="7"/>
      <c r="AL271" s="7"/>
      <c r="AM271" s="7"/>
      <c r="AN271" s="7"/>
      <c r="AO271" s="7"/>
      <c r="AP271" s="7"/>
      <c r="AQ271" s="7"/>
      <c r="AR271" s="7"/>
      <c r="AS271" s="7"/>
      <c r="AT271" s="7"/>
      <c r="AU271" s="7"/>
      <c r="AV271" s="7"/>
      <c r="AW271" s="7"/>
      <c r="AX271" s="7"/>
      <c r="AY271" s="7"/>
      <c r="AZ271" s="7"/>
      <c r="BA271" s="7"/>
      <c r="BB271" s="7"/>
      <c r="BC271" s="7"/>
      <c r="BD271" s="7"/>
      <c r="BE271" s="7"/>
      <c r="BF271" s="7"/>
      <c r="BG271" s="7"/>
    </row>
    <row r="272" spans="1:59">
      <c r="A272" s="7"/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  <c r="AA272" s="7"/>
      <c r="AB272" s="7"/>
      <c r="AC272" s="7"/>
      <c r="AD272" s="7"/>
      <c r="AE272" s="7"/>
      <c r="AF272" s="7"/>
      <c r="AG272" s="7"/>
      <c r="AH272" s="7"/>
      <c r="AI272" s="7"/>
      <c r="AJ272" s="7"/>
      <c r="AK272" s="7"/>
      <c r="AL272" s="7"/>
      <c r="AM272" s="7"/>
      <c r="AN272" s="7"/>
      <c r="AO272" s="7"/>
      <c r="AP272" s="7"/>
      <c r="AQ272" s="7"/>
      <c r="AR272" s="7"/>
      <c r="AS272" s="7"/>
      <c r="AT272" s="7"/>
      <c r="AU272" s="7"/>
      <c r="AV272" s="7"/>
      <c r="AW272" s="7"/>
      <c r="AX272" s="7"/>
      <c r="AY272" s="7"/>
      <c r="AZ272" s="7"/>
      <c r="BA272" s="7"/>
      <c r="BB272" s="7"/>
      <c r="BC272" s="7"/>
      <c r="BD272" s="7"/>
      <c r="BE272" s="7"/>
      <c r="BF272" s="7"/>
      <c r="BG272" s="7"/>
    </row>
    <row r="273" spans="1:59">
      <c r="A273" s="7"/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  <c r="AA273" s="7"/>
      <c r="AB273" s="7"/>
      <c r="AC273" s="7"/>
      <c r="AD273" s="7"/>
      <c r="AE273" s="7"/>
      <c r="AF273" s="7"/>
      <c r="AG273" s="7"/>
      <c r="AH273" s="7"/>
      <c r="AI273" s="7"/>
      <c r="AJ273" s="7"/>
      <c r="AK273" s="7"/>
      <c r="AL273" s="7"/>
      <c r="AM273" s="7"/>
      <c r="AN273" s="7"/>
      <c r="AO273" s="7"/>
      <c r="AP273" s="7"/>
      <c r="AQ273" s="7"/>
      <c r="AR273" s="7"/>
      <c r="AS273" s="7"/>
      <c r="AT273" s="7"/>
      <c r="AU273" s="7"/>
      <c r="AV273" s="7"/>
      <c r="AW273" s="7"/>
      <c r="AX273" s="7"/>
      <c r="AY273" s="7"/>
      <c r="AZ273" s="7"/>
      <c r="BA273" s="7"/>
      <c r="BB273" s="7"/>
      <c r="BC273" s="7"/>
      <c r="BD273" s="7"/>
      <c r="BE273" s="7"/>
      <c r="BF273" s="7"/>
      <c r="BG273" s="7"/>
    </row>
    <row r="274" spans="1:59">
      <c r="A274" s="7"/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  <c r="AA274" s="7"/>
      <c r="AB274" s="7"/>
      <c r="AC274" s="7"/>
      <c r="AD274" s="7"/>
      <c r="AE274" s="7"/>
      <c r="AF274" s="7"/>
      <c r="AG274" s="7"/>
      <c r="AH274" s="7"/>
      <c r="AI274" s="7"/>
      <c r="AJ274" s="7"/>
      <c r="AK274" s="7"/>
      <c r="AL274" s="7"/>
      <c r="AM274" s="7"/>
      <c r="AN274" s="7"/>
      <c r="AO274" s="7"/>
      <c r="AP274" s="7"/>
      <c r="AQ274" s="7"/>
      <c r="AR274" s="7"/>
      <c r="AS274" s="7"/>
      <c r="AT274" s="7"/>
      <c r="AU274" s="7"/>
      <c r="AV274" s="7"/>
      <c r="AW274" s="7"/>
      <c r="AX274" s="7"/>
      <c r="AY274" s="7"/>
      <c r="AZ274" s="7"/>
      <c r="BA274" s="7"/>
      <c r="BB274" s="7"/>
      <c r="BC274" s="7"/>
      <c r="BD274" s="7"/>
      <c r="BE274" s="7"/>
      <c r="BF274" s="7"/>
      <c r="BG274" s="7"/>
    </row>
    <row r="275" spans="1:59">
      <c r="A275" s="7"/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  <c r="AA275" s="7"/>
      <c r="AB275" s="7"/>
      <c r="AC275" s="7"/>
      <c r="AD275" s="7"/>
      <c r="AE275" s="7"/>
      <c r="AF275" s="7"/>
      <c r="AG275" s="7"/>
      <c r="AH275" s="7"/>
      <c r="AI275" s="7"/>
      <c r="AJ275" s="7"/>
      <c r="AK275" s="7"/>
      <c r="AL275" s="7"/>
      <c r="AM275" s="7"/>
      <c r="AN275" s="7"/>
      <c r="AO275" s="7"/>
      <c r="AP275" s="7"/>
      <c r="AQ275" s="7"/>
      <c r="AR275" s="7"/>
      <c r="AS275" s="7"/>
      <c r="AT275" s="7"/>
      <c r="AU275" s="7"/>
      <c r="AV275" s="7"/>
      <c r="AW275" s="7"/>
      <c r="AX275" s="7"/>
      <c r="AY275" s="7"/>
      <c r="AZ275" s="7"/>
      <c r="BA275" s="7"/>
      <c r="BB275" s="7"/>
      <c r="BC275" s="7"/>
      <c r="BD275" s="7"/>
      <c r="BE275" s="7"/>
      <c r="BF275" s="7"/>
      <c r="BG275" s="7"/>
    </row>
    <row r="276" spans="1:59">
      <c r="A276" s="7"/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  <c r="AA276" s="7"/>
      <c r="AB276" s="7"/>
      <c r="AC276" s="7"/>
      <c r="AD276" s="7"/>
      <c r="AE276" s="7"/>
      <c r="AF276" s="7"/>
      <c r="AG276" s="7"/>
      <c r="AH276" s="7"/>
      <c r="AI276" s="7"/>
      <c r="AJ276" s="7"/>
      <c r="AK276" s="7"/>
      <c r="AL276" s="7"/>
      <c r="AM276" s="7"/>
      <c r="AN276" s="7"/>
      <c r="AO276" s="7"/>
      <c r="AP276" s="7"/>
      <c r="AQ276" s="7"/>
      <c r="AR276" s="7"/>
      <c r="AS276" s="7"/>
      <c r="AT276" s="7"/>
      <c r="AU276" s="7"/>
      <c r="AV276" s="7"/>
      <c r="AW276" s="7"/>
      <c r="AX276" s="7"/>
      <c r="AY276" s="7"/>
      <c r="AZ276" s="7"/>
      <c r="BA276" s="7"/>
      <c r="BB276" s="7"/>
      <c r="BC276" s="7"/>
      <c r="BD276" s="7"/>
      <c r="BE276" s="7"/>
      <c r="BF276" s="7"/>
      <c r="BG276" s="7"/>
    </row>
    <row r="277" spans="1:59">
      <c r="A277" s="7"/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  <c r="AA277" s="7"/>
      <c r="AB277" s="7"/>
      <c r="AC277" s="7"/>
      <c r="AD277" s="7"/>
      <c r="AE277" s="7"/>
      <c r="AF277" s="7"/>
      <c r="AG277" s="7"/>
      <c r="AH277" s="7"/>
      <c r="AI277" s="7"/>
      <c r="AJ277" s="7"/>
      <c r="AK277" s="7"/>
      <c r="AL277" s="7"/>
      <c r="AM277" s="7"/>
      <c r="AN277" s="7"/>
      <c r="AO277" s="7"/>
      <c r="AP277" s="7"/>
      <c r="AQ277" s="7"/>
      <c r="AR277" s="7"/>
      <c r="AS277" s="7"/>
      <c r="AT277" s="7"/>
      <c r="AU277" s="7"/>
      <c r="AV277" s="7"/>
      <c r="AW277" s="7"/>
      <c r="AX277" s="7"/>
      <c r="AY277" s="7"/>
      <c r="AZ277" s="7"/>
      <c r="BA277" s="7"/>
      <c r="BB277" s="7"/>
      <c r="BC277" s="7"/>
      <c r="BD277" s="7"/>
      <c r="BE277" s="7"/>
      <c r="BF277" s="7"/>
      <c r="BG277" s="7"/>
    </row>
    <row r="278" spans="1:59">
      <c r="A278" s="7"/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  <c r="AA278" s="7"/>
      <c r="AB278" s="7"/>
      <c r="AC278" s="7"/>
      <c r="AD278" s="7"/>
      <c r="AE278" s="7"/>
      <c r="AF278" s="7"/>
      <c r="AG278" s="7"/>
      <c r="AH278" s="7"/>
      <c r="AI278" s="7"/>
      <c r="AJ278" s="7"/>
      <c r="AK278" s="7"/>
      <c r="AL278" s="7"/>
      <c r="AM278" s="7"/>
      <c r="AN278" s="7"/>
      <c r="AO278" s="7"/>
      <c r="AP278" s="7"/>
      <c r="AQ278" s="7"/>
      <c r="AR278" s="7"/>
      <c r="AS278" s="7"/>
      <c r="AT278" s="7"/>
      <c r="AU278" s="7"/>
      <c r="AV278" s="7"/>
      <c r="AW278" s="7"/>
      <c r="AX278" s="7"/>
      <c r="AY278" s="7"/>
      <c r="AZ278" s="7"/>
      <c r="BA278" s="7"/>
      <c r="BB278" s="7"/>
      <c r="BC278" s="7"/>
      <c r="BD278" s="7"/>
      <c r="BE278" s="7"/>
      <c r="BF278" s="7"/>
      <c r="BG278" s="7"/>
    </row>
    <row r="279" spans="1:59">
      <c r="A279" s="7"/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  <c r="AA279" s="7"/>
      <c r="AB279" s="7"/>
      <c r="AC279" s="7"/>
      <c r="AD279" s="7"/>
      <c r="AE279" s="7"/>
      <c r="AF279" s="7"/>
      <c r="AG279" s="7"/>
      <c r="AH279" s="7"/>
      <c r="AI279" s="7"/>
      <c r="AJ279" s="7"/>
      <c r="AK279" s="7"/>
      <c r="AL279" s="7"/>
      <c r="AM279" s="7"/>
      <c r="AN279" s="7"/>
      <c r="AO279" s="7"/>
      <c r="AP279" s="7"/>
      <c r="AQ279" s="7"/>
      <c r="AR279" s="7"/>
      <c r="AS279" s="7"/>
      <c r="AT279" s="7"/>
      <c r="AU279" s="7"/>
      <c r="AV279" s="7"/>
      <c r="AW279" s="7"/>
      <c r="AX279" s="7"/>
      <c r="AY279" s="7"/>
      <c r="AZ279" s="7"/>
      <c r="BA279" s="7"/>
      <c r="BB279" s="7"/>
      <c r="BC279" s="7"/>
      <c r="BD279" s="7"/>
      <c r="BE279" s="7"/>
      <c r="BF279" s="7"/>
      <c r="BG279" s="7"/>
    </row>
    <row r="280" spans="1:59">
      <c r="A280" s="7"/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  <c r="AA280" s="7"/>
      <c r="AB280" s="7"/>
      <c r="AC280" s="7"/>
      <c r="AD280" s="7"/>
      <c r="AE280" s="7"/>
      <c r="AF280" s="7"/>
      <c r="AG280" s="7"/>
      <c r="AH280" s="7"/>
      <c r="AI280" s="7"/>
      <c r="AJ280" s="7"/>
      <c r="AK280" s="7"/>
      <c r="AL280" s="7"/>
      <c r="AM280" s="7"/>
      <c r="AN280" s="7"/>
      <c r="AO280" s="7"/>
      <c r="AP280" s="7"/>
      <c r="AQ280" s="7"/>
      <c r="AR280" s="7"/>
      <c r="AS280" s="7"/>
      <c r="AT280" s="7"/>
      <c r="AU280" s="7"/>
      <c r="AV280" s="7"/>
      <c r="AW280" s="7"/>
      <c r="AX280" s="7"/>
      <c r="AY280" s="7"/>
      <c r="AZ280" s="7"/>
      <c r="BA280" s="7"/>
      <c r="BB280" s="7"/>
      <c r="BC280" s="7"/>
      <c r="BD280" s="7"/>
      <c r="BE280" s="7"/>
      <c r="BF280" s="7"/>
      <c r="BG280" s="7"/>
    </row>
    <row r="281" spans="1:59">
      <c r="A281" s="7"/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  <c r="AA281" s="7"/>
      <c r="AB281" s="7"/>
      <c r="AC281" s="7"/>
      <c r="AD281" s="7"/>
      <c r="AE281" s="7"/>
      <c r="AF281" s="7"/>
      <c r="AG281" s="7"/>
      <c r="AH281" s="7"/>
      <c r="AI281" s="7"/>
      <c r="AJ281" s="7"/>
      <c r="AK281" s="7"/>
      <c r="AL281" s="7"/>
      <c r="AM281" s="7"/>
      <c r="AN281" s="7"/>
      <c r="AO281" s="7"/>
      <c r="AP281" s="7"/>
      <c r="AQ281" s="7"/>
      <c r="AR281" s="7"/>
      <c r="AS281" s="7"/>
      <c r="AT281" s="7"/>
      <c r="AU281" s="7"/>
      <c r="AV281" s="7"/>
      <c r="AW281" s="7"/>
      <c r="AX281" s="7"/>
      <c r="AY281" s="7"/>
      <c r="AZ281" s="7"/>
      <c r="BA281" s="7"/>
      <c r="BB281" s="7"/>
      <c r="BC281" s="7"/>
      <c r="BD281" s="7"/>
      <c r="BE281" s="7"/>
      <c r="BF281" s="7"/>
      <c r="BG281" s="7"/>
    </row>
    <row r="282" spans="1:59">
      <c r="A282" s="7"/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  <c r="AA282" s="7"/>
      <c r="AB282" s="7"/>
      <c r="AC282" s="7"/>
      <c r="AD282" s="7"/>
      <c r="AE282" s="7"/>
      <c r="AF282" s="7"/>
      <c r="AG282" s="7"/>
      <c r="AH282" s="7"/>
      <c r="AI282" s="7"/>
      <c r="AJ282" s="7"/>
      <c r="AK282" s="7"/>
      <c r="AL282" s="7"/>
      <c r="AM282" s="7"/>
      <c r="AN282" s="7"/>
      <c r="AO282" s="7"/>
      <c r="AP282" s="7"/>
      <c r="AQ282" s="7"/>
      <c r="AR282" s="7"/>
      <c r="AS282" s="7"/>
      <c r="AT282" s="7"/>
      <c r="AU282" s="7"/>
      <c r="AV282" s="7"/>
      <c r="AW282" s="7"/>
      <c r="AX282" s="7"/>
      <c r="AY282" s="7"/>
      <c r="AZ282" s="7"/>
      <c r="BA282" s="7"/>
      <c r="BB282" s="7"/>
      <c r="BC282" s="7"/>
      <c r="BD282" s="7"/>
      <c r="BE282" s="7"/>
      <c r="BF282" s="7"/>
      <c r="BG282" s="7"/>
    </row>
    <row r="283" spans="1:59">
      <c r="A283" s="7"/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  <c r="AA283" s="7"/>
      <c r="AB283" s="7"/>
      <c r="AC283" s="7"/>
      <c r="AD283" s="7"/>
      <c r="AE283" s="7"/>
      <c r="AF283" s="7"/>
      <c r="AG283" s="7"/>
      <c r="AH283" s="7"/>
      <c r="AI283" s="7"/>
      <c r="AJ283" s="7"/>
      <c r="AK283" s="7"/>
      <c r="AL283" s="7"/>
      <c r="AM283" s="7"/>
      <c r="AN283" s="7"/>
      <c r="AO283" s="7"/>
      <c r="AP283" s="7"/>
      <c r="AQ283" s="7"/>
      <c r="AR283" s="7"/>
      <c r="AS283" s="7"/>
      <c r="AT283" s="7"/>
      <c r="AU283" s="7"/>
      <c r="AV283" s="7"/>
      <c r="AW283" s="7"/>
      <c r="AX283" s="7"/>
      <c r="AY283" s="7"/>
      <c r="AZ283" s="7"/>
      <c r="BA283" s="7"/>
      <c r="BB283" s="7"/>
      <c r="BC283" s="7"/>
      <c r="BD283" s="7"/>
      <c r="BE283" s="7"/>
      <c r="BF283" s="7"/>
      <c r="BG283" s="7"/>
    </row>
    <row r="284" spans="1:59">
      <c r="A284" s="7"/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  <c r="AA284" s="7"/>
      <c r="AB284" s="7"/>
      <c r="AC284" s="7"/>
      <c r="AD284" s="7"/>
      <c r="AE284" s="7"/>
      <c r="AF284" s="7"/>
      <c r="AG284" s="7"/>
      <c r="AH284" s="7"/>
      <c r="AI284" s="7"/>
      <c r="AJ284" s="7"/>
      <c r="AK284" s="7"/>
      <c r="AL284" s="7"/>
      <c r="AM284" s="7"/>
      <c r="AN284" s="7"/>
      <c r="AO284" s="7"/>
      <c r="AP284" s="7"/>
      <c r="AQ284" s="7"/>
      <c r="AR284" s="7"/>
      <c r="AS284" s="7"/>
      <c r="AT284" s="7"/>
      <c r="AU284" s="7"/>
      <c r="AV284" s="7"/>
      <c r="AW284" s="7"/>
      <c r="AX284" s="7"/>
      <c r="AY284" s="7"/>
      <c r="AZ284" s="7"/>
      <c r="BA284" s="7"/>
      <c r="BB284" s="7"/>
      <c r="BC284" s="7"/>
      <c r="BD284" s="7"/>
      <c r="BE284" s="7"/>
      <c r="BF284" s="7"/>
      <c r="BG284" s="7"/>
    </row>
    <row r="285" spans="1:59">
      <c r="A285" s="7"/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  <c r="AA285" s="7"/>
      <c r="AB285" s="7"/>
      <c r="AC285" s="7"/>
      <c r="AD285" s="7"/>
      <c r="AE285" s="7"/>
      <c r="AF285" s="7"/>
      <c r="AG285" s="7"/>
      <c r="AH285" s="7"/>
      <c r="AI285" s="7"/>
      <c r="AJ285" s="7"/>
      <c r="AK285" s="7"/>
      <c r="AL285" s="7"/>
      <c r="AM285" s="7"/>
      <c r="AN285" s="7"/>
      <c r="AO285" s="7"/>
      <c r="AP285" s="7"/>
      <c r="AQ285" s="7"/>
      <c r="AR285" s="7"/>
      <c r="AS285" s="7"/>
      <c r="AT285" s="7"/>
      <c r="AU285" s="7"/>
      <c r="AV285" s="7"/>
      <c r="AW285" s="7"/>
      <c r="AX285" s="7"/>
      <c r="AY285" s="7"/>
      <c r="AZ285" s="7"/>
      <c r="BA285" s="7"/>
      <c r="BB285" s="7"/>
      <c r="BC285" s="7"/>
      <c r="BD285" s="7"/>
      <c r="BE285" s="7"/>
      <c r="BF285" s="7"/>
      <c r="BG285" s="7"/>
    </row>
    <row r="286" spans="1:59">
      <c r="A286" s="7"/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  <c r="AA286" s="7"/>
      <c r="AB286" s="7"/>
      <c r="AC286" s="7"/>
      <c r="AD286" s="7"/>
      <c r="AE286" s="7"/>
      <c r="AF286" s="7"/>
      <c r="AG286" s="7"/>
      <c r="AH286" s="7"/>
      <c r="AI286" s="7"/>
      <c r="AJ286" s="7"/>
      <c r="AK286" s="7"/>
      <c r="AL286" s="7"/>
      <c r="AM286" s="7"/>
      <c r="AN286" s="7"/>
      <c r="AO286" s="7"/>
      <c r="AP286" s="7"/>
      <c r="AQ286" s="7"/>
      <c r="AR286" s="7"/>
      <c r="AS286" s="7"/>
      <c r="AT286" s="7"/>
      <c r="AU286" s="7"/>
      <c r="AV286" s="7"/>
      <c r="AW286" s="7"/>
      <c r="AX286" s="7"/>
      <c r="AY286" s="7"/>
      <c r="AZ286" s="7"/>
      <c r="BA286" s="7"/>
      <c r="BB286" s="7"/>
      <c r="BC286" s="7"/>
      <c r="BD286" s="7"/>
      <c r="BE286" s="7"/>
      <c r="BF286" s="7"/>
      <c r="BG286" s="7"/>
    </row>
    <row r="287" spans="1:59">
      <c r="A287" s="7"/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  <c r="AA287" s="7"/>
      <c r="AB287" s="7"/>
      <c r="AC287" s="7"/>
      <c r="AD287" s="7"/>
      <c r="AE287" s="7"/>
      <c r="AF287" s="7"/>
      <c r="AG287" s="7"/>
      <c r="AH287" s="7"/>
      <c r="AI287" s="7"/>
      <c r="AJ287" s="7"/>
      <c r="AK287" s="7"/>
      <c r="AL287" s="7"/>
      <c r="AM287" s="7"/>
      <c r="AN287" s="7"/>
      <c r="AO287" s="7"/>
      <c r="AP287" s="7"/>
      <c r="AQ287" s="7"/>
      <c r="AR287" s="7"/>
      <c r="AS287" s="7"/>
      <c r="AT287" s="7"/>
      <c r="AU287" s="7"/>
      <c r="AV287" s="7"/>
      <c r="AW287" s="7"/>
      <c r="AX287" s="7"/>
      <c r="AY287" s="7"/>
      <c r="AZ287" s="7"/>
      <c r="BA287" s="7"/>
      <c r="BB287" s="7"/>
      <c r="BC287" s="7"/>
      <c r="BD287" s="7"/>
      <c r="BE287" s="7"/>
      <c r="BF287" s="7"/>
      <c r="BG287" s="7"/>
    </row>
    <row r="288" spans="1:59">
      <c r="A288" s="7"/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  <c r="AA288" s="7"/>
      <c r="AB288" s="7"/>
      <c r="AC288" s="7"/>
      <c r="AD288" s="7"/>
      <c r="AE288" s="7"/>
      <c r="AF288" s="7"/>
      <c r="AG288" s="7"/>
      <c r="AH288" s="7"/>
      <c r="AI288" s="7"/>
      <c r="AJ288" s="7"/>
      <c r="AK288" s="7"/>
      <c r="AL288" s="7"/>
      <c r="AM288" s="7"/>
      <c r="AN288" s="7"/>
      <c r="AO288" s="7"/>
      <c r="AP288" s="7"/>
      <c r="AQ288" s="7"/>
      <c r="AR288" s="7"/>
      <c r="AS288" s="7"/>
      <c r="AT288" s="7"/>
      <c r="AU288" s="7"/>
      <c r="AV288" s="7"/>
      <c r="AW288" s="7"/>
      <c r="AX288" s="7"/>
      <c r="AY288" s="7"/>
      <c r="AZ288" s="7"/>
      <c r="BA288" s="7"/>
      <c r="BB288" s="7"/>
      <c r="BC288" s="7"/>
      <c r="BD288" s="7"/>
      <c r="BE288" s="7"/>
      <c r="BF288" s="7"/>
      <c r="BG288" s="7"/>
    </row>
    <row r="289" spans="1:59">
      <c r="A289" s="7"/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  <c r="AA289" s="7"/>
      <c r="AB289" s="7"/>
      <c r="AC289" s="7"/>
      <c r="AD289" s="7"/>
      <c r="AE289" s="7"/>
      <c r="AF289" s="7"/>
      <c r="AG289" s="7"/>
      <c r="AH289" s="7"/>
      <c r="AI289" s="7"/>
      <c r="AJ289" s="7"/>
      <c r="AK289" s="7"/>
      <c r="AL289" s="7"/>
      <c r="AM289" s="7"/>
      <c r="AN289" s="7"/>
      <c r="AO289" s="7"/>
      <c r="AP289" s="7"/>
      <c r="AQ289" s="7"/>
      <c r="AR289" s="7"/>
      <c r="AS289" s="7"/>
      <c r="AT289" s="7"/>
      <c r="AU289" s="7"/>
      <c r="AV289" s="7"/>
      <c r="AW289" s="7"/>
      <c r="AX289" s="7"/>
      <c r="AY289" s="7"/>
      <c r="AZ289" s="7"/>
      <c r="BA289" s="7"/>
      <c r="BB289" s="7"/>
      <c r="BC289" s="7"/>
      <c r="BD289" s="7"/>
      <c r="BE289" s="7"/>
      <c r="BF289" s="7"/>
      <c r="BG289" s="7"/>
    </row>
    <row r="290" spans="1:59">
      <c r="A290" s="7"/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  <c r="AA290" s="7"/>
      <c r="AB290" s="7"/>
      <c r="AC290" s="7"/>
      <c r="AD290" s="7"/>
      <c r="AE290" s="7"/>
      <c r="AF290" s="7"/>
      <c r="AG290" s="7"/>
      <c r="AH290" s="7"/>
      <c r="AI290" s="7"/>
      <c r="AJ290" s="7"/>
      <c r="AK290" s="7"/>
      <c r="AL290" s="7"/>
      <c r="AM290" s="7"/>
      <c r="AN290" s="7"/>
      <c r="AO290" s="7"/>
      <c r="AP290" s="7"/>
      <c r="AQ290" s="7"/>
      <c r="AR290" s="7"/>
      <c r="AS290" s="7"/>
      <c r="AT290" s="7"/>
      <c r="AU290" s="7"/>
      <c r="AV290" s="7"/>
      <c r="AW290" s="7"/>
      <c r="AX290" s="7"/>
      <c r="AY290" s="7"/>
      <c r="AZ290" s="7"/>
      <c r="BA290" s="7"/>
      <c r="BB290" s="7"/>
      <c r="BC290" s="7"/>
      <c r="BD290" s="7"/>
      <c r="BE290" s="7"/>
      <c r="BF290" s="7"/>
      <c r="BG290" s="7"/>
    </row>
    <row r="291" spans="1:59">
      <c r="A291" s="7"/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  <c r="AA291" s="7"/>
      <c r="AB291" s="7"/>
      <c r="AC291" s="7"/>
      <c r="AD291" s="7"/>
      <c r="AE291" s="7"/>
      <c r="AF291" s="7"/>
      <c r="AG291" s="7"/>
      <c r="AH291" s="7"/>
      <c r="AI291" s="7"/>
      <c r="AJ291" s="7"/>
      <c r="AK291" s="7"/>
      <c r="AL291" s="7"/>
      <c r="AM291" s="7"/>
      <c r="AN291" s="7"/>
      <c r="AO291" s="7"/>
      <c r="AP291" s="7"/>
      <c r="AQ291" s="7"/>
      <c r="AR291" s="7"/>
      <c r="AS291" s="7"/>
      <c r="AT291" s="7"/>
      <c r="AU291" s="7"/>
      <c r="AV291" s="7"/>
      <c r="AW291" s="7"/>
      <c r="AX291" s="7"/>
      <c r="AY291" s="7"/>
      <c r="AZ291" s="7"/>
      <c r="BA291" s="7"/>
      <c r="BB291" s="7"/>
      <c r="BC291" s="7"/>
      <c r="BD291" s="7"/>
      <c r="BE291" s="7"/>
      <c r="BF291" s="7"/>
      <c r="BG291" s="7"/>
    </row>
    <row r="292" spans="1:59">
      <c r="A292" s="7"/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  <c r="AA292" s="7"/>
      <c r="AB292" s="7"/>
      <c r="AC292" s="7"/>
      <c r="AD292" s="7"/>
      <c r="AE292" s="7"/>
      <c r="AF292" s="7"/>
      <c r="AG292" s="7"/>
      <c r="AH292" s="7"/>
      <c r="AI292" s="7"/>
      <c r="AJ292" s="7"/>
      <c r="AK292" s="7"/>
      <c r="AL292" s="7"/>
      <c r="AM292" s="7"/>
      <c r="AN292" s="7"/>
      <c r="AO292" s="7"/>
      <c r="AP292" s="7"/>
      <c r="AQ292" s="7"/>
      <c r="AR292" s="7"/>
      <c r="AS292" s="7"/>
      <c r="AT292" s="7"/>
      <c r="AU292" s="7"/>
      <c r="AV292" s="7"/>
      <c r="AW292" s="7"/>
      <c r="AX292" s="7"/>
      <c r="AY292" s="7"/>
      <c r="AZ292" s="7"/>
      <c r="BA292" s="7"/>
      <c r="BB292" s="7"/>
      <c r="BC292" s="7"/>
      <c r="BD292" s="7"/>
      <c r="BE292" s="7"/>
      <c r="BF292" s="7"/>
      <c r="BG292" s="7"/>
    </row>
    <row r="293" spans="1:59">
      <c r="A293" s="7"/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  <c r="AA293" s="7"/>
      <c r="AB293" s="7"/>
      <c r="AC293" s="7"/>
      <c r="AD293" s="7"/>
      <c r="AE293" s="7"/>
      <c r="AF293" s="7"/>
      <c r="AG293" s="7"/>
      <c r="AH293" s="7"/>
      <c r="AI293" s="7"/>
      <c r="AJ293" s="7"/>
      <c r="AK293" s="7"/>
      <c r="AL293" s="7"/>
      <c r="AM293" s="7"/>
      <c r="AN293" s="7"/>
      <c r="AO293" s="7"/>
      <c r="AP293" s="7"/>
      <c r="AQ293" s="7"/>
      <c r="AR293" s="7"/>
      <c r="AS293" s="7"/>
      <c r="AT293" s="7"/>
      <c r="AU293" s="7"/>
      <c r="AV293" s="7"/>
      <c r="AW293" s="7"/>
      <c r="AX293" s="7"/>
      <c r="AY293" s="7"/>
      <c r="AZ293" s="7"/>
      <c r="BA293" s="7"/>
      <c r="BB293" s="7"/>
      <c r="BC293" s="7"/>
      <c r="BD293" s="7"/>
      <c r="BE293" s="7"/>
      <c r="BF293" s="7"/>
      <c r="BG293" s="7"/>
    </row>
    <row r="294" spans="1:59">
      <c r="A294" s="7"/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  <c r="AA294" s="7"/>
      <c r="AB294" s="7"/>
      <c r="AC294" s="7"/>
      <c r="AD294" s="7"/>
      <c r="AE294" s="7"/>
      <c r="AF294" s="7"/>
      <c r="AG294" s="7"/>
      <c r="AH294" s="7"/>
      <c r="AI294" s="7"/>
      <c r="AJ294" s="7"/>
      <c r="AK294" s="7"/>
      <c r="AL294" s="7"/>
      <c r="AM294" s="7"/>
      <c r="AN294" s="7"/>
      <c r="AO294" s="7"/>
      <c r="AP294" s="7"/>
      <c r="AQ294" s="7"/>
      <c r="AR294" s="7"/>
      <c r="AS294" s="7"/>
      <c r="AT294" s="7"/>
      <c r="AU294" s="7"/>
      <c r="AV294" s="7"/>
      <c r="AW294" s="7"/>
      <c r="AX294" s="7"/>
      <c r="AY294" s="7"/>
      <c r="AZ294" s="7"/>
      <c r="BA294" s="7"/>
      <c r="BB294" s="7"/>
      <c r="BC294" s="7"/>
      <c r="BD294" s="7"/>
      <c r="BE294" s="7"/>
      <c r="BF294" s="7"/>
      <c r="BG294" s="7"/>
    </row>
    <row r="295" spans="1:59">
      <c r="A295" s="7"/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  <c r="AA295" s="7"/>
      <c r="AB295" s="7"/>
      <c r="AC295" s="7"/>
      <c r="AD295" s="7"/>
      <c r="AE295" s="7"/>
      <c r="AF295" s="7"/>
      <c r="AG295" s="7"/>
      <c r="AH295" s="7"/>
      <c r="AI295" s="7"/>
      <c r="AJ295" s="7"/>
      <c r="AK295" s="7"/>
      <c r="AL295" s="7"/>
      <c r="AM295" s="7"/>
      <c r="AN295" s="7"/>
      <c r="AO295" s="7"/>
      <c r="AP295" s="7"/>
      <c r="AQ295" s="7"/>
      <c r="AR295" s="7"/>
      <c r="AS295" s="7"/>
      <c r="AT295" s="7"/>
      <c r="AU295" s="7"/>
      <c r="AV295" s="7"/>
      <c r="AW295" s="7"/>
      <c r="AX295" s="7"/>
      <c r="AY295" s="7"/>
      <c r="AZ295" s="7"/>
      <c r="BA295" s="7"/>
      <c r="BB295" s="7"/>
      <c r="BC295" s="7"/>
      <c r="BD295" s="7"/>
      <c r="BE295" s="7"/>
      <c r="BF295" s="7"/>
      <c r="BG295" s="7"/>
    </row>
    <row r="296" spans="1:59">
      <c r="A296" s="7"/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  <c r="AA296" s="7"/>
      <c r="AB296" s="7"/>
      <c r="AC296" s="7"/>
      <c r="AD296" s="7"/>
      <c r="AE296" s="7"/>
      <c r="AF296" s="7"/>
      <c r="AG296" s="7"/>
      <c r="AH296" s="7"/>
      <c r="AI296" s="7"/>
      <c r="AJ296" s="7"/>
      <c r="AK296" s="7"/>
      <c r="AL296" s="7"/>
      <c r="AM296" s="7"/>
      <c r="AN296" s="7"/>
      <c r="AO296" s="7"/>
      <c r="AP296" s="7"/>
      <c r="AQ296" s="7"/>
      <c r="AR296" s="7"/>
      <c r="AS296" s="7"/>
      <c r="AT296" s="7"/>
      <c r="AU296" s="7"/>
      <c r="AV296" s="7"/>
      <c r="AW296" s="7"/>
      <c r="AX296" s="7"/>
      <c r="AY296" s="7"/>
      <c r="AZ296" s="7"/>
      <c r="BA296" s="7"/>
      <c r="BB296" s="7"/>
      <c r="BC296" s="7"/>
      <c r="BD296" s="7"/>
      <c r="BE296" s="7"/>
      <c r="BF296" s="7"/>
      <c r="BG296" s="7"/>
    </row>
    <row r="297" spans="1:59">
      <c r="A297" s="7"/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  <c r="AA297" s="7"/>
      <c r="AB297" s="7"/>
      <c r="AC297" s="7"/>
      <c r="AD297" s="7"/>
      <c r="AE297" s="7"/>
      <c r="AF297" s="7"/>
      <c r="AG297" s="7"/>
      <c r="AH297" s="7"/>
      <c r="AI297" s="7"/>
      <c r="AJ297" s="7"/>
      <c r="AK297" s="7"/>
      <c r="AL297" s="7"/>
      <c r="AM297" s="7"/>
      <c r="AN297" s="7"/>
      <c r="AO297" s="7"/>
      <c r="AP297" s="7"/>
      <c r="AQ297" s="7"/>
      <c r="AR297" s="7"/>
      <c r="AS297" s="7"/>
      <c r="AT297" s="7"/>
      <c r="AU297" s="7"/>
      <c r="AV297" s="7"/>
      <c r="AW297" s="7"/>
      <c r="AX297" s="7"/>
      <c r="AY297" s="7"/>
      <c r="AZ297" s="7"/>
      <c r="BA297" s="7"/>
      <c r="BB297" s="7"/>
      <c r="BC297" s="7"/>
      <c r="BD297" s="7"/>
      <c r="BE297" s="7"/>
      <c r="BF297" s="7"/>
      <c r="BG297" s="7"/>
    </row>
    <row r="298" spans="1:59">
      <c r="A298" s="7"/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  <c r="AA298" s="7"/>
      <c r="AB298" s="7"/>
      <c r="AC298" s="7"/>
      <c r="AD298" s="7"/>
      <c r="AE298" s="7"/>
      <c r="AF298" s="7"/>
      <c r="AG298" s="7"/>
      <c r="AH298" s="7"/>
      <c r="AI298" s="7"/>
      <c r="AJ298" s="7"/>
      <c r="AK298" s="7"/>
      <c r="AL298" s="7"/>
      <c r="AM298" s="7"/>
      <c r="AN298" s="7"/>
      <c r="AO298" s="7"/>
      <c r="AP298" s="7"/>
      <c r="AQ298" s="7"/>
      <c r="AR298" s="7"/>
      <c r="AS298" s="7"/>
      <c r="AT298" s="7"/>
      <c r="AU298" s="7"/>
      <c r="AV298" s="7"/>
      <c r="AW298" s="7"/>
      <c r="AX298" s="7"/>
      <c r="AY298" s="7"/>
      <c r="AZ298" s="7"/>
      <c r="BA298" s="7"/>
      <c r="BB298" s="7"/>
      <c r="BC298" s="7"/>
      <c r="BD298" s="7"/>
      <c r="BE298" s="7"/>
      <c r="BF298" s="7"/>
      <c r="BG298" s="7"/>
    </row>
    <row r="299" spans="1:59">
      <c r="A299" s="7"/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  <c r="AA299" s="7"/>
      <c r="AB299" s="7"/>
      <c r="AC299" s="7"/>
      <c r="AD299" s="7"/>
      <c r="AE299" s="7"/>
      <c r="AF299" s="7"/>
      <c r="AG299" s="7"/>
      <c r="AH299" s="7"/>
      <c r="AI299" s="7"/>
      <c r="AJ299" s="7"/>
      <c r="AK299" s="7"/>
      <c r="AL299" s="7"/>
      <c r="AM299" s="7"/>
      <c r="AN299" s="7"/>
      <c r="AO299" s="7"/>
      <c r="AP299" s="7"/>
      <c r="AQ299" s="7"/>
      <c r="AR299" s="7"/>
      <c r="AS299" s="7"/>
      <c r="AT299" s="7"/>
      <c r="AU299" s="7"/>
      <c r="AV299" s="7"/>
      <c r="AW299" s="7"/>
      <c r="AX299" s="7"/>
      <c r="AY299" s="7"/>
      <c r="AZ299" s="7"/>
      <c r="BA299" s="7"/>
      <c r="BB299" s="7"/>
      <c r="BC299" s="7"/>
      <c r="BD299" s="7"/>
      <c r="BE299" s="7"/>
      <c r="BF299" s="7"/>
      <c r="BG299" s="7"/>
    </row>
    <row r="300" spans="1:59">
      <c r="A300" s="7"/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  <c r="AA300" s="7"/>
      <c r="AB300" s="7"/>
      <c r="AC300" s="7"/>
      <c r="AD300" s="7"/>
      <c r="AE300" s="7"/>
      <c r="AF300" s="7"/>
      <c r="AG300" s="7"/>
      <c r="AH300" s="7"/>
      <c r="AI300" s="7"/>
      <c r="AJ300" s="7"/>
      <c r="AK300" s="7"/>
      <c r="AL300" s="7"/>
      <c r="AM300" s="7"/>
      <c r="AN300" s="7"/>
      <c r="AO300" s="7"/>
      <c r="AP300" s="7"/>
      <c r="AQ300" s="7"/>
      <c r="AR300" s="7"/>
      <c r="AS300" s="7"/>
      <c r="AT300" s="7"/>
      <c r="AU300" s="7"/>
      <c r="AV300" s="7"/>
      <c r="AW300" s="7"/>
      <c r="AX300" s="7"/>
      <c r="AY300" s="7"/>
      <c r="AZ300" s="7"/>
      <c r="BA300" s="7"/>
      <c r="BB300" s="7"/>
      <c r="BC300" s="7"/>
      <c r="BD300" s="7"/>
      <c r="BE300" s="7"/>
      <c r="BF300" s="7"/>
      <c r="BG300" s="7"/>
    </row>
    <row r="301" spans="1:59">
      <c r="A301" s="7"/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  <c r="AA301" s="7"/>
      <c r="AB301" s="7"/>
      <c r="AC301" s="7"/>
      <c r="AD301" s="7"/>
      <c r="AE301" s="7"/>
      <c r="AF301" s="7"/>
      <c r="AG301" s="7"/>
      <c r="AH301" s="7"/>
      <c r="AI301" s="7"/>
      <c r="AJ301" s="7"/>
      <c r="AK301" s="7"/>
      <c r="AL301" s="7"/>
      <c r="AM301" s="7"/>
      <c r="AN301" s="7"/>
      <c r="AO301" s="7"/>
      <c r="AP301" s="7"/>
      <c r="AQ301" s="7"/>
      <c r="AR301" s="7"/>
      <c r="AS301" s="7"/>
      <c r="AT301" s="7"/>
      <c r="AU301" s="7"/>
      <c r="AV301" s="7"/>
      <c r="AW301" s="7"/>
      <c r="AX301" s="7"/>
      <c r="AY301" s="7"/>
      <c r="AZ301" s="7"/>
      <c r="BA301" s="7"/>
      <c r="BB301" s="7"/>
      <c r="BC301" s="7"/>
      <c r="BD301" s="7"/>
      <c r="BE301" s="7"/>
      <c r="BF301" s="7"/>
      <c r="BG301" s="7"/>
    </row>
    <row r="302" spans="1:59">
      <c r="A302" s="7"/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  <c r="AA302" s="7"/>
      <c r="AB302" s="7"/>
      <c r="AC302" s="7"/>
      <c r="AD302" s="7"/>
      <c r="AE302" s="7"/>
      <c r="AF302" s="7"/>
      <c r="AG302" s="7"/>
      <c r="AH302" s="7"/>
      <c r="AI302" s="7"/>
      <c r="AJ302" s="7"/>
      <c r="AK302" s="7"/>
      <c r="AL302" s="7"/>
      <c r="AM302" s="7"/>
      <c r="AN302" s="7"/>
      <c r="AO302" s="7"/>
      <c r="AP302" s="7"/>
      <c r="AQ302" s="7"/>
      <c r="AR302" s="7"/>
      <c r="AS302" s="7"/>
      <c r="AT302" s="7"/>
      <c r="AU302" s="7"/>
      <c r="AV302" s="7"/>
      <c r="AW302" s="7"/>
      <c r="AX302" s="7"/>
      <c r="AY302" s="7"/>
      <c r="AZ302" s="7"/>
      <c r="BA302" s="7"/>
      <c r="BB302" s="7"/>
      <c r="BC302" s="7"/>
      <c r="BD302" s="7"/>
      <c r="BE302" s="7"/>
      <c r="BF302" s="7"/>
      <c r="BG302" s="7"/>
    </row>
    <row r="303" spans="1:59">
      <c r="A303" s="7"/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  <c r="AA303" s="7"/>
      <c r="AB303" s="7"/>
      <c r="AC303" s="7"/>
      <c r="AD303" s="7"/>
      <c r="AE303" s="7"/>
      <c r="AF303" s="7"/>
      <c r="AG303" s="7"/>
      <c r="AH303" s="7"/>
      <c r="AI303" s="7"/>
      <c r="AJ303" s="7"/>
      <c r="AK303" s="7"/>
      <c r="AL303" s="7"/>
      <c r="AM303" s="7"/>
      <c r="AN303" s="7"/>
      <c r="AO303" s="7"/>
      <c r="AP303" s="7"/>
      <c r="AQ303" s="7"/>
      <c r="AR303" s="7"/>
      <c r="AS303" s="7"/>
      <c r="AT303" s="7"/>
      <c r="AU303" s="7"/>
      <c r="AV303" s="7"/>
      <c r="AW303" s="7"/>
      <c r="AX303" s="7"/>
      <c r="AY303" s="7"/>
      <c r="AZ303" s="7"/>
      <c r="BA303" s="7"/>
      <c r="BB303" s="7"/>
      <c r="BC303" s="7"/>
      <c r="BD303" s="7"/>
      <c r="BE303" s="7"/>
      <c r="BF303" s="7"/>
      <c r="BG303" s="7"/>
    </row>
    <row r="304" spans="1:59">
      <c r="A304" s="7"/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  <c r="AA304" s="7"/>
      <c r="AB304" s="7"/>
      <c r="AC304" s="7"/>
      <c r="AD304" s="7"/>
      <c r="AE304" s="7"/>
      <c r="AF304" s="7"/>
      <c r="AG304" s="7"/>
      <c r="AH304" s="7"/>
      <c r="AI304" s="7"/>
      <c r="AJ304" s="7"/>
      <c r="AK304" s="7"/>
      <c r="AL304" s="7"/>
      <c r="AM304" s="7"/>
      <c r="AN304" s="7"/>
      <c r="AO304" s="7"/>
      <c r="AP304" s="7"/>
      <c r="AQ304" s="7"/>
      <c r="AR304" s="7"/>
      <c r="AS304" s="7"/>
      <c r="AT304" s="7"/>
      <c r="AU304" s="7"/>
      <c r="AV304" s="7"/>
      <c r="AW304" s="7"/>
      <c r="AX304" s="7"/>
      <c r="AY304" s="7"/>
      <c r="AZ304" s="7"/>
      <c r="BA304" s="7"/>
      <c r="BB304" s="7"/>
      <c r="BC304" s="7"/>
      <c r="BD304" s="7"/>
      <c r="BE304" s="7"/>
      <c r="BF304" s="7"/>
      <c r="BG304" s="7"/>
    </row>
    <row r="305" spans="1:59">
      <c r="A305" s="7"/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  <c r="AA305" s="7"/>
      <c r="AB305" s="7"/>
      <c r="AC305" s="7"/>
      <c r="AD305" s="7"/>
      <c r="AE305" s="7"/>
      <c r="AF305" s="7"/>
      <c r="AG305" s="7"/>
      <c r="AH305" s="7"/>
      <c r="AI305" s="7"/>
      <c r="AJ305" s="7"/>
      <c r="AK305" s="7"/>
      <c r="AL305" s="7"/>
      <c r="AM305" s="7"/>
      <c r="AN305" s="7"/>
      <c r="AO305" s="7"/>
      <c r="AP305" s="7"/>
      <c r="AQ305" s="7"/>
      <c r="AR305" s="7"/>
      <c r="AS305" s="7"/>
      <c r="AT305" s="7"/>
      <c r="AU305" s="7"/>
      <c r="AV305" s="7"/>
      <c r="AW305" s="7"/>
      <c r="AX305" s="7"/>
      <c r="AY305" s="7"/>
      <c r="AZ305" s="7"/>
      <c r="BA305" s="7"/>
      <c r="BB305" s="7"/>
      <c r="BC305" s="7"/>
      <c r="BD305" s="7"/>
      <c r="BE305" s="7"/>
      <c r="BF305" s="7"/>
      <c r="BG305" s="7"/>
    </row>
    <row r="306" spans="1:59">
      <c r="A306" s="7"/>
      <c r="B306" s="7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  <c r="AA306" s="7"/>
      <c r="AB306" s="7"/>
      <c r="AC306" s="7"/>
      <c r="AD306" s="7"/>
      <c r="AE306" s="7"/>
      <c r="AF306" s="7"/>
      <c r="AG306" s="7"/>
      <c r="AH306" s="7"/>
      <c r="AI306" s="7"/>
      <c r="AJ306" s="7"/>
      <c r="AK306" s="7"/>
      <c r="AL306" s="7"/>
      <c r="AM306" s="7"/>
      <c r="AN306" s="7"/>
      <c r="AO306" s="7"/>
      <c r="AP306" s="7"/>
      <c r="AQ306" s="7"/>
      <c r="AR306" s="7"/>
      <c r="AS306" s="7"/>
      <c r="AT306" s="7"/>
      <c r="AU306" s="7"/>
      <c r="AV306" s="7"/>
      <c r="AW306" s="7"/>
      <c r="AX306" s="7"/>
      <c r="AY306" s="7"/>
      <c r="AZ306" s="7"/>
      <c r="BA306" s="7"/>
      <c r="BB306" s="7"/>
      <c r="BC306" s="7"/>
      <c r="BD306" s="7"/>
      <c r="BE306" s="7"/>
      <c r="BF306" s="7"/>
      <c r="BG306" s="7"/>
    </row>
    <row r="307" spans="1:59">
      <c r="A307" s="7"/>
      <c r="B307" s="7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  <c r="AA307" s="7"/>
      <c r="AB307" s="7"/>
      <c r="AC307" s="7"/>
      <c r="AD307" s="7"/>
      <c r="AE307" s="7"/>
      <c r="AF307" s="7"/>
      <c r="AG307" s="7"/>
      <c r="AH307" s="7"/>
      <c r="AI307" s="7"/>
      <c r="AJ307" s="7"/>
      <c r="AK307" s="7"/>
      <c r="AL307" s="7"/>
      <c r="AM307" s="7"/>
      <c r="AN307" s="7"/>
      <c r="AO307" s="7"/>
      <c r="AP307" s="7"/>
      <c r="AQ307" s="7"/>
      <c r="AR307" s="7"/>
      <c r="AS307" s="7"/>
      <c r="AT307" s="7"/>
      <c r="AU307" s="7"/>
      <c r="AV307" s="7"/>
      <c r="AW307" s="7"/>
      <c r="AX307" s="7"/>
      <c r="AY307" s="7"/>
      <c r="AZ307" s="7"/>
      <c r="BA307" s="7"/>
      <c r="BB307" s="7"/>
      <c r="BC307" s="7"/>
      <c r="BD307" s="7"/>
      <c r="BE307" s="7"/>
      <c r="BF307" s="7"/>
      <c r="BG307" s="7"/>
    </row>
    <row r="308" spans="1:59">
      <c r="A308" s="7"/>
      <c r="B308" s="7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  <c r="AA308" s="7"/>
      <c r="AB308" s="7"/>
      <c r="AC308" s="7"/>
      <c r="AD308" s="7"/>
      <c r="AE308" s="7"/>
      <c r="AF308" s="7"/>
      <c r="AG308" s="7"/>
      <c r="AH308" s="7"/>
      <c r="AI308" s="7"/>
      <c r="AJ308" s="7"/>
      <c r="AK308" s="7"/>
      <c r="AL308" s="7"/>
      <c r="AM308" s="7"/>
      <c r="AN308" s="7"/>
      <c r="AO308" s="7"/>
      <c r="AP308" s="7"/>
      <c r="AQ308" s="7"/>
      <c r="AR308" s="7"/>
      <c r="AS308" s="7"/>
      <c r="AT308" s="7"/>
      <c r="AU308" s="7"/>
      <c r="AV308" s="7"/>
      <c r="AW308" s="7"/>
      <c r="AX308" s="7"/>
      <c r="AY308" s="7"/>
      <c r="AZ308" s="7"/>
      <c r="BA308" s="7"/>
      <c r="BB308" s="7"/>
      <c r="BC308" s="7"/>
      <c r="BD308" s="7"/>
      <c r="BE308" s="7"/>
      <c r="BF308" s="7"/>
      <c r="BG308" s="7"/>
    </row>
    <row r="309" spans="1:59">
      <c r="A309" s="7"/>
      <c r="B309" s="7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  <c r="AA309" s="7"/>
      <c r="AB309" s="7"/>
      <c r="AC309" s="7"/>
      <c r="AD309" s="7"/>
      <c r="AE309" s="7"/>
      <c r="AF309" s="7"/>
      <c r="AG309" s="7"/>
      <c r="AH309" s="7"/>
      <c r="AI309" s="7"/>
      <c r="AJ309" s="7"/>
      <c r="AK309" s="7"/>
      <c r="AL309" s="7"/>
      <c r="AM309" s="7"/>
      <c r="AN309" s="7"/>
      <c r="AO309" s="7"/>
      <c r="AP309" s="7"/>
      <c r="AQ309" s="7"/>
      <c r="AR309" s="7"/>
      <c r="AS309" s="7"/>
      <c r="AT309" s="7"/>
      <c r="AU309" s="7"/>
      <c r="AV309" s="7"/>
      <c r="AW309" s="7"/>
      <c r="AX309" s="7"/>
      <c r="AY309" s="7"/>
      <c r="AZ309" s="7"/>
      <c r="BA309" s="7"/>
      <c r="BB309" s="7"/>
      <c r="BC309" s="7"/>
      <c r="BD309" s="7"/>
      <c r="BE309" s="7"/>
      <c r="BF309" s="7"/>
      <c r="BG309" s="7"/>
    </row>
    <row r="310" spans="1:59">
      <c r="A310" s="7"/>
      <c r="B310" s="7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  <c r="AA310" s="7"/>
      <c r="AB310" s="7"/>
      <c r="AC310" s="7"/>
      <c r="AD310" s="7"/>
      <c r="AE310" s="7"/>
      <c r="AF310" s="7"/>
      <c r="AG310" s="7"/>
      <c r="AH310" s="7"/>
      <c r="AI310" s="7"/>
      <c r="AJ310" s="7"/>
      <c r="AK310" s="7"/>
      <c r="AL310" s="7"/>
      <c r="AM310" s="7"/>
      <c r="AN310" s="7"/>
      <c r="AO310" s="7"/>
      <c r="AP310" s="7"/>
      <c r="AQ310" s="7"/>
      <c r="AR310" s="7"/>
      <c r="AS310" s="7"/>
      <c r="AT310" s="7"/>
      <c r="AU310" s="7"/>
      <c r="AV310" s="7"/>
      <c r="AW310" s="7"/>
      <c r="AX310" s="7"/>
      <c r="AY310" s="7"/>
      <c r="AZ310" s="7"/>
      <c r="BA310" s="7"/>
      <c r="BB310" s="7"/>
      <c r="BC310" s="7"/>
      <c r="BD310" s="7"/>
      <c r="BE310" s="7"/>
      <c r="BF310" s="7"/>
      <c r="BG310" s="7"/>
    </row>
    <row r="311" spans="1:59">
      <c r="A311" s="7"/>
      <c r="B311" s="7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  <c r="AA311" s="7"/>
      <c r="AB311" s="7"/>
      <c r="AC311" s="7"/>
      <c r="AD311" s="7"/>
      <c r="AE311" s="7"/>
      <c r="AF311" s="7"/>
      <c r="AG311" s="7"/>
      <c r="AH311" s="7"/>
      <c r="AI311" s="7"/>
      <c r="AJ311" s="7"/>
      <c r="AK311" s="7"/>
      <c r="AL311" s="7"/>
      <c r="AM311" s="7"/>
      <c r="AN311" s="7"/>
      <c r="AO311" s="7"/>
      <c r="AP311" s="7"/>
      <c r="AQ311" s="7"/>
      <c r="AR311" s="7"/>
      <c r="AS311" s="7"/>
      <c r="AT311" s="7"/>
      <c r="AU311" s="7"/>
      <c r="AV311" s="7"/>
      <c r="AW311" s="7"/>
      <c r="AX311" s="7"/>
      <c r="AY311" s="7"/>
      <c r="AZ311" s="7"/>
      <c r="BA311" s="7"/>
      <c r="BB311" s="7"/>
      <c r="BC311" s="7"/>
      <c r="BD311" s="7"/>
      <c r="BE311" s="7"/>
      <c r="BF311" s="7"/>
      <c r="BG311" s="7"/>
    </row>
    <row r="312" spans="1:59">
      <c r="A312" s="7"/>
      <c r="B312" s="7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  <c r="AA312" s="7"/>
      <c r="AB312" s="7"/>
      <c r="AC312" s="7"/>
      <c r="AD312" s="7"/>
      <c r="AE312" s="7"/>
      <c r="AF312" s="7"/>
      <c r="AG312" s="7"/>
      <c r="AH312" s="7"/>
      <c r="AI312" s="7"/>
      <c r="AJ312" s="7"/>
      <c r="AK312" s="7"/>
      <c r="AL312" s="7"/>
      <c r="AM312" s="7"/>
      <c r="AN312" s="7"/>
      <c r="AO312" s="7"/>
      <c r="AP312" s="7"/>
      <c r="AQ312" s="7"/>
      <c r="AR312" s="7"/>
      <c r="AS312" s="7"/>
      <c r="AT312" s="7"/>
      <c r="AU312" s="7"/>
      <c r="AV312" s="7"/>
      <c r="AW312" s="7"/>
      <c r="AX312" s="7"/>
      <c r="AY312" s="7"/>
      <c r="AZ312" s="7"/>
      <c r="BA312" s="7"/>
      <c r="BB312" s="7"/>
      <c r="BC312" s="7"/>
      <c r="BD312" s="7"/>
      <c r="BE312" s="7"/>
      <c r="BF312" s="7"/>
      <c r="BG312" s="7"/>
    </row>
    <row r="313" spans="1:59">
      <c r="A313" s="7"/>
      <c r="B313" s="7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  <c r="AA313" s="7"/>
      <c r="AB313" s="7"/>
      <c r="AC313" s="7"/>
      <c r="AD313" s="7"/>
      <c r="AE313" s="7"/>
      <c r="AF313" s="7"/>
      <c r="AG313" s="7"/>
      <c r="AH313" s="7"/>
      <c r="AI313" s="7"/>
      <c r="AJ313" s="7"/>
      <c r="AK313" s="7"/>
      <c r="AL313" s="7"/>
      <c r="AM313" s="7"/>
      <c r="AN313" s="7"/>
      <c r="AO313" s="7"/>
      <c r="AP313" s="7"/>
      <c r="AQ313" s="7"/>
      <c r="AR313" s="7"/>
      <c r="AS313" s="7"/>
      <c r="AT313" s="7"/>
      <c r="AU313" s="7"/>
      <c r="AV313" s="7"/>
      <c r="AW313" s="7"/>
      <c r="AX313" s="7"/>
      <c r="AY313" s="7"/>
      <c r="AZ313" s="7"/>
      <c r="BA313" s="7"/>
      <c r="BB313" s="7"/>
      <c r="BC313" s="7"/>
      <c r="BD313" s="7"/>
      <c r="BE313" s="7"/>
      <c r="BF313" s="7"/>
      <c r="BG313" s="7"/>
    </row>
    <row r="314" spans="1:59">
      <c r="A314" s="7"/>
      <c r="B314" s="7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  <c r="AA314" s="7"/>
      <c r="AB314" s="7"/>
      <c r="AC314" s="7"/>
      <c r="AD314" s="7"/>
      <c r="AE314" s="7"/>
      <c r="AF314" s="7"/>
      <c r="AG314" s="7"/>
      <c r="AH314" s="7"/>
      <c r="AI314" s="7"/>
      <c r="AJ314" s="7"/>
      <c r="AK314" s="7"/>
      <c r="AL314" s="7"/>
      <c r="AM314" s="7"/>
      <c r="AN314" s="7"/>
      <c r="AO314" s="7"/>
      <c r="AP314" s="7"/>
      <c r="AQ314" s="7"/>
      <c r="AR314" s="7"/>
      <c r="AS314" s="7"/>
      <c r="AT314" s="7"/>
      <c r="AU314" s="7"/>
      <c r="AV314" s="7"/>
      <c r="AW314" s="7"/>
      <c r="AX314" s="7"/>
      <c r="AY314" s="7"/>
      <c r="AZ314" s="7"/>
      <c r="BA314" s="7"/>
      <c r="BB314" s="7"/>
      <c r="BC314" s="7"/>
      <c r="BD314" s="7"/>
      <c r="BE314" s="7"/>
      <c r="BF314" s="7"/>
      <c r="BG314" s="7"/>
    </row>
    <row r="315" spans="1:59">
      <c r="A315" s="7"/>
      <c r="B315" s="7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  <c r="AA315" s="7"/>
      <c r="AB315" s="7"/>
      <c r="AC315" s="7"/>
      <c r="AD315" s="7"/>
      <c r="AE315" s="7"/>
      <c r="AF315" s="7"/>
      <c r="AG315" s="7"/>
      <c r="AH315" s="7"/>
      <c r="AI315" s="7"/>
      <c r="AJ315" s="7"/>
      <c r="AK315" s="7"/>
      <c r="AL315" s="7"/>
      <c r="AM315" s="7"/>
      <c r="AN315" s="7"/>
      <c r="AO315" s="7"/>
      <c r="AP315" s="7"/>
      <c r="AQ315" s="7"/>
      <c r="AR315" s="7"/>
      <c r="AS315" s="7"/>
      <c r="AT315" s="7"/>
      <c r="AU315" s="7"/>
      <c r="AV315" s="7"/>
      <c r="AW315" s="7"/>
      <c r="AX315" s="7"/>
      <c r="AY315" s="7"/>
      <c r="AZ315" s="7"/>
      <c r="BA315" s="7"/>
      <c r="BB315" s="7"/>
      <c r="BC315" s="7"/>
      <c r="BD315" s="7"/>
      <c r="BE315" s="7"/>
      <c r="BF315" s="7"/>
      <c r="BG315" s="7"/>
    </row>
    <row r="316" spans="1:59">
      <c r="A316" s="7"/>
      <c r="B316" s="7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  <c r="AA316" s="7"/>
      <c r="AB316" s="7"/>
      <c r="AC316" s="7"/>
      <c r="AD316" s="7"/>
      <c r="AE316" s="7"/>
      <c r="AF316" s="7"/>
      <c r="AG316" s="7"/>
      <c r="AH316" s="7"/>
      <c r="AI316" s="7"/>
      <c r="AJ316" s="7"/>
      <c r="AK316" s="7"/>
      <c r="AL316" s="7"/>
      <c r="AM316" s="7"/>
      <c r="AN316" s="7"/>
      <c r="AO316" s="7"/>
      <c r="AP316" s="7"/>
      <c r="AQ316" s="7"/>
      <c r="AR316" s="7"/>
      <c r="AS316" s="7"/>
      <c r="AT316" s="7"/>
      <c r="AU316" s="7"/>
      <c r="AV316" s="7"/>
      <c r="AW316" s="7"/>
      <c r="AX316" s="7"/>
      <c r="AY316" s="7"/>
      <c r="AZ316" s="7"/>
      <c r="BA316" s="7"/>
      <c r="BB316" s="7"/>
      <c r="BC316" s="7"/>
      <c r="BD316" s="7"/>
      <c r="BE316" s="7"/>
      <c r="BF316" s="7"/>
      <c r="BG316" s="7"/>
    </row>
    <row r="317" spans="1:59">
      <c r="A317" s="7"/>
      <c r="B317" s="7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  <c r="AA317" s="7"/>
      <c r="AB317" s="7"/>
      <c r="AC317" s="7"/>
      <c r="AD317" s="7"/>
      <c r="AE317" s="7"/>
      <c r="AF317" s="7"/>
      <c r="AG317" s="7"/>
      <c r="AH317" s="7"/>
      <c r="AI317" s="7"/>
      <c r="AJ317" s="7"/>
      <c r="AK317" s="7"/>
      <c r="AL317" s="7"/>
      <c r="AM317" s="7"/>
      <c r="AN317" s="7"/>
      <c r="AO317" s="7"/>
      <c r="AP317" s="7"/>
      <c r="AQ317" s="7"/>
      <c r="AR317" s="7"/>
      <c r="AS317" s="7"/>
      <c r="AT317" s="7"/>
      <c r="AU317" s="7"/>
      <c r="AV317" s="7"/>
      <c r="AW317" s="7"/>
      <c r="AX317" s="7"/>
      <c r="AY317" s="7"/>
      <c r="AZ317" s="7"/>
      <c r="BA317" s="7"/>
      <c r="BB317" s="7"/>
      <c r="BC317" s="7"/>
      <c r="BD317" s="7"/>
      <c r="BE317" s="7"/>
      <c r="BF317" s="7"/>
      <c r="BG317" s="7"/>
    </row>
    <row r="318" spans="1:59">
      <c r="A318" s="7"/>
      <c r="B318" s="7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  <c r="AA318" s="7"/>
      <c r="AB318" s="7"/>
      <c r="AC318" s="7"/>
      <c r="AD318" s="7"/>
      <c r="AE318" s="7"/>
      <c r="AF318" s="7"/>
      <c r="AG318" s="7"/>
      <c r="AH318" s="7"/>
      <c r="AI318" s="7"/>
      <c r="AJ318" s="7"/>
      <c r="AK318" s="7"/>
      <c r="AL318" s="7"/>
      <c r="AM318" s="7"/>
      <c r="AN318" s="7"/>
      <c r="AO318" s="7"/>
      <c r="AP318" s="7"/>
      <c r="AQ318" s="7"/>
      <c r="AR318" s="7"/>
      <c r="AS318" s="7"/>
      <c r="AT318" s="7"/>
      <c r="AU318" s="7"/>
      <c r="AV318" s="7"/>
      <c r="AW318" s="7"/>
      <c r="AX318" s="7"/>
      <c r="AY318" s="7"/>
      <c r="AZ318" s="7"/>
      <c r="BA318" s="7"/>
      <c r="BB318" s="7"/>
      <c r="BC318" s="7"/>
      <c r="BD318" s="7"/>
      <c r="BE318" s="7"/>
      <c r="BF318" s="7"/>
      <c r="BG318" s="7"/>
    </row>
    <row r="319" spans="1:59">
      <c r="A319" s="7"/>
      <c r="B319" s="7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  <c r="AA319" s="7"/>
      <c r="AB319" s="7"/>
      <c r="AC319" s="7"/>
      <c r="AD319" s="7"/>
      <c r="AE319" s="7"/>
      <c r="AF319" s="7"/>
      <c r="AG319" s="7"/>
      <c r="AH319" s="7"/>
      <c r="AI319" s="7"/>
      <c r="AJ319" s="7"/>
      <c r="AK319" s="7"/>
      <c r="AL319" s="7"/>
      <c r="AM319" s="7"/>
      <c r="AN319" s="7"/>
      <c r="AO319" s="7"/>
      <c r="AP319" s="7"/>
      <c r="AQ319" s="7"/>
      <c r="AR319" s="7"/>
      <c r="AS319" s="7"/>
      <c r="AT319" s="7"/>
      <c r="AU319" s="7"/>
      <c r="AV319" s="7"/>
      <c r="AW319" s="7"/>
      <c r="AX319" s="7"/>
      <c r="AY319" s="7"/>
      <c r="AZ319" s="7"/>
      <c r="BA319" s="7"/>
      <c r="BB319" s="7"/>
      <c r="BC319" s="7"/>
      <c r="BD319" s="7"/>
      <c r="BE319" s="7"/>
      <c r="BF319" s="7"/>
      <c r="BG319" s="7"/>
    </row>
    <row r="320" spans="1:59">
      <c r="A320" s="7"/>
      <c r="B320" s="7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  <c r="AA320" s="7"/>
      <c r="AB320" s="7"/>
      <c r="AC320" s="7"/>
      <c r="AD320" s="7"/>
      <c r="AE320" s="7"/>
      <c r="AF320" s="7"/>
      <c r="AG320" s="7"/>
      <c r="AH320" s="7"/>
      <c r="AI320" s="7"/>
      <c r="AJ320" s="7"/>
      <c r="AK320" s="7"/>
      <c r="AL320" s="7"/>
      <c r="AM320" s="7"/>
      <c r="AN320" s="7"/>
      <c r="AO320" s="7"/>
      <c r="AP320" s="7"/>
      <c r="AQ320" s="7"/>
      <c r="AR320" s="7"/>
      <c r="AS320" s="7"/>
      <c r="AT320" s="7"/>
      <c r="AU320" s="7"/>
      <c r="AV320" s="7"/>
      <c r="AW320" s="7"/>
      <c r="AX320" s="7"/>
      <c r="AY320" s="7"/>
      <c r="AZ320" s="7"/>
      <c r="BA320" s="7"/>
      <c r="BB320" s="7"/>
      <c r="BC320" s="7"/>
      <c r="BD320" s="7"/>
      <c r="BE320" s="7"/>
      <c r="BF320" s="7"/>
      <c r="BG320" s="7"/>
    </row>
    <row r="321" spans="1:59">
      <c r="A321" s="7"/>
      <c r="B321" s="7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  <c r="AA321" s="7"/>
      <c r="AB321" s="7"/>
      <c r="AC321" s="7"/>
      <c r="AD321" s="7"/>
      <c r="AE321" s="7"/>
      <c r="AF321" s="7"/>
      <c r="AG321" s="7"/>
      <c r="AH321" s="7"/>
      <c r="AI321" s="7"/>
      <c r="AJ321" s="7"/>
      <c r="AK321" s="7"/>
      <c r="AL321" s="7"/>
      <c r="AM321" s="7"/>
      <c r="AN321" s="7"/>
      <c r="AO321" s="7"/>
      <c r="AP321" s="7"/>
      <c r="AQ321" s="7"/>
      <c r="AR321" s="7"/>
      <c r="AS321" s="7"/>
      <c r="AT321" s="7"/>
      <c r="AU321" s="7"/>
      <c r="AV321" s="7"/>
      <c r="AW321" s="7"/>
      <c r="AX321" s="7"/>
      <c r="AY321" s="7"/>
      <c r="AZ321" s="7"/>
      <c r="BA321" s="7"/>
      <c r="BB321" s="7"/>
      <c r="BC321" s="7"/>
      <c r="BD321" s="7"/>
      <c r="BE321" s="7"/>
      <c r="BF321" s="7"/>
      <c r="BG321" s="7"/>
    </row>
    <row r="322" spans="1:59">
      <c r="A322" s="7"/>
      <c r="B322" s="7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  <c r="AA322" s="7"/>
      <c r="AB322" s="7"/>
      <c r="AC322" s="7"/>
      <c r="AD322" s="7"/>
      <c r="AE322" s="7"/>
      <c r="AF322" s="7"/>
      <c r="AG322" s="7"/>
      <c r="AH322" s="7"/>
      <c r="AI322" s="7"/>
      <c r="AJ322" s="7"/>
      <c r="AK322" s="7"/>
      <c r="AL322" s="7"/>
      <c r="AM322" s="7"/>
      <c r="AN322" s="7"/>
      <c r="AO322" s="7"/>
      <c r="AP322" s="7"/>
      <c r="AQ322" s="7"/>
      <c r="AR322" s="7"/>
      <c r="AS322" s="7"/>
      <c r="AT322" s="7"/>
      <c r="AU322" s="7"/>
      <c r="AV322" s="7"/>
      <c r="AW322" s="7"/>
      <c r="AX322" s="7"/>
      <c r="AY322" s="7"/>
      <c r="AZ322" s="7"/>
      <c r="BA322" s="7"/>
      <c r="BB322" s="7"/>
      <c r="BC322" s="7"/>
      <c r="BD322" s="7"/>
      <c r="BE322" s="7"/>
      <c r="BF322" s="7"/>
      <c r="BG322" s="7"/>
    </row>
    <row r="323" spans="1:59">
      <c r="A323" s="7"/>
      <c r="B323" s="7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  <c r="AA323" s="7"/>
      <c r="AB323" s="7"/>
      <c r="AC323" s="7"/>
      <c r="AD323" s="7"/>
      <c r="AE323" s="7"/>
      <c r="AF323" s="7"/>
      <c r="AG323" s="7"/>
      <c r="AH323" s="7"/>
      <c r="AI323" s="7"/>
      <c r="AJ323" s="7"/>
      <c r="AK323" s="7"/>
      <c r="AL323" s="7"/>
      <c r="AM323" s="7"/>
      <c r="AN323" s="7"/>
      <c r="AO323" s="7"/>
      <c r="AP323" s="7"/>
      <c r="AQ323" s="7"/>
      <c r="AR323" s="7"/>
      <c r="AS323" s="7"/>
      <c r="AT323" s="7"/>
      <c r="AU323" s="7"/>
      <c r="AV323" s="7"/>
      <c r="AW323" s="7"/>
      <c r="AX323" s="7"/>
      <c r="AY323" s="7"/>
      <c r="AZ323" s="7"/>
      <c r="BA323" s="7"/>
      <c r="BB323" s="7"/>
      <c r="BC323" s="7"/>
      <c r="BD323" s="7"/>
      <c r="BE323" s="7"/>
      <c r="BF323" s="7"/>
      <c r="BG323" s="7"/>
    </row>
    <row r="324" spans="1:59">
      <c r="A324" s="7"/>
      <c r="B324" s="7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  <c r="AA324" s="7"/>
      <c r="AB324" s="7"/>
      <c r="AC324" s="7"/>
      <c r="AD324" s="7"/>
      <c r="AE324" s="7"/>
      <c r="AF324" s="7"/>
      <c r="AG324" s="7"/>
      <c r="AH324" s="7"/>
      <c r="AI324" s="7"/>
      <c r="AJ324" s="7"/>
      <c r="AK324" s="7"/>
      <c r="AL324" s="7"/>
      <c r="AM324" s="7"/>
      <c r="AN324" s="7"/>
      <c r="AO324" s="7"/>
      <c r="AP324" s="7"/>
      <c r="AQ324" s="7"/>
      <c r="AR324" s="7"/>
      <c r="AS324" s="7"/>
      <c r="AT324" s="7"/>
      <c r="AU324" s="7"/>
      <c r="AV324" s="7"/>
      <c r="AW324" s="7"/>
      <c r="AX324" s="7"/>
      <c r="AY324" s="7"/>
      <c r="AZ324" s="7"/>
      <c r="BA324" s="7"/>
      <c r="BB324" s="7"/>
      <c r="BC324" s="7"/>
      <c r="BD324" s="7"/>
      <c r="BE324" s="7"/>
      <c r="BF324" s="7"/>
      <c r="BG324" s="7"/>
    </row>
    <row r="325" spans="1:59">
      <c r="A325" s="7"/>
      <c r="B325" s="7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  <c r="AA325" s="7"/>
      <c r="AB325" s="7"/>
      <c r="AC325" s="7"/>
      <c r="AD325" s="7"/>
      <c r="AE325" s="7"/>
      <c r="AF325" s="7"/>
      <c r="AG325" s="7"/>
      <c r="AH325" s="7"/>
      <c r="AI325" s="7"/>
      <c r="AJ325" s="7"/>
      <c r="AK325" s="7"/>
      <c r="AL325" s="7"/>
      <c r="AM325" s="7"/>
      <c r="AN325" s="7"/>
      <c r="AO325" s="7"/>
      <c r="AP325" s="7"/>
      <c r="AQ325" s="7"/>
      <c r="AR325" s="7"/>
      <c r="AS325" s="7"/>
      <c r="AT325" s="7"/>
      <c r="AU325" s="7"/>
      <c r="AV325" s="7"/>
      <c r="AW325" s="7"/>
      <c r="AX325" s="7"/>
      <c r="AY325" s="7"/>
      <c r="AZ325" s="7"/>
      <c r="BA325" s="7"/>
      <c r="BB325" s="7"/>
      <c r="BC325" s="7"/>
      <c r="BD325" s="7"/>
      <c r="BE325" s="7"/>
      <c r="BF325" s="7"/>
      <c r="BG325" s="7"/>
    </row>
    <row r="326" spans="1:59">
      <c r="A326" s="7"/>
      <c r="B326" s="7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  <c r="AA326" s="7"/>
      <c r="AB326" s="7"/>
      <c r="AC326" s="7"/>
      <c r="AD326" s="7"/>
      <c r="AE326" s="7"/>
      <c r="AF326" s="7"/>
      <c r="AG326" s="7"/>
      <c r="AH326" s="7"/>
      <c r="AI326" s="7"/>
      <c r="AJ326" s="7"/>
      <c r="AK326" s="7"/>
      <c r="AL326" s="7"/>
      <c r="AM326" s="7"/>
      <c r="AN326" s="7"/>
      <c r="AO326" s="7"/>
      <c r="AP326" s="7"/>
      <c r="AQ326" s="7"/>
      <c r="AR326" s="7"/>
      <c r="AS326" s="7"/>
      <c r="AT326" s="7"/>
      <c r="AU326" s="7"/>
      <c r="AV326" s="7"/>
      <c r="AW326" s="7"/>
      <c r="AX326" s="7"/>
      <c r="AY326" s="7"/>
      <c r="AZ326" s="7"/>
      <c r="BA326" s="7"/>
      <c r="BB326" s="7"/>
      <c r="BC326" s="7"/>
      <c r="BD326" s="7"/>
      <c r="BE326" s="7"/>
      <c r="BF326" s="7"/>
      <c r="BG326" s="7"/>
    </row>
    <row r="327" spans="1:59">
      <c r="A327" s="7"/>
      <c r="B327" s="7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  <c r="AA327" s="7"/>
      <c r="AB327" s="7"/>
      <c r="AC327" s="7"/>
      <c r="AD327" s="7"/>
      <c r="AE327" s="7"/>
      <c r="AF327" s="7"/>
      <c r="AG327" s="7"/>
      <c r="AH327" s="7"/>
      <c r="AI327" s="7"/>
      <c r="AJ327" s="7"/>
      <c r="AK327" s="7"/>
      <c r="AL327" s="7"/>
      <c r="AM327" s="7"/>
      <c r="AN327" s="7"/>
      <c r="AO327" s="7"/>
      <c r="AP327" s="7"/>
      <c r="AQ327" s="7"/>
      <c r="AR327" s="7"/>
      <c r="AS327" s="7"/>
      <c r="AT327" s="7"/>
      <c r="AU327" s="7"/>
      <c r="AV327" s="7"/>
      <c r="AW327" s="7"/>
      <c r="AX327" s="7"/>
      <c r="AY327" s="7"/>
      <c r="AZ327" s="7"/>
      <c r="BA327" s="7"/>
      <c r="BB327" s="7"/>
      <c r="BC327" s="7"/>
      <c r="BD327" s="7"/>
      <c r="BE327" s="7"/>
      <c r="BF327" s="7"/>
      <c r="BG327" s="7"/>
    </row>
    <row r="328" spans="1:59">
      <c r="A328" s="7"/>
      <c r="B328" s="7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  <c r="AA328" s="7"/>
      <c r="AB328" s="7"/>
      <c r="AC328" s="7"/>
      <c r="AD328" s="7"/>
      <c r="AE328" s="7"/>
      <c r="AF328" s="7"/>
      <c r="AG328" s="7"/>
      <c r="AH328" s="7"/>
      <c r="AI328" s="7"/>
      <c r="AJ328" s="7"/>
      <c r="AK328" s="7"/>
      <c r="AL328" s="7"/>
      <c r="AM328" s="7"/>
      <c r="AN328" s="7"/>
      <c r="AO328" s="7"/>
      <c r="AP328" s="7"/>
      <c r="AQ328" s="7"/>
      <c r="AR328" s="7"/>
      <c r="AS328" s="7"/>
      <c r="AT328" s="7"/>
      <c r="AU328" s="7"/>
      <c r="AV328" s="7"/>
      <c r="AW328" s="7"/>
      <c r="AX328" s="7"/>
      <c r="AY328" s="7"/>
      <c r="AZ328" s="7"/>
      <c r="BA328" s="7"/>
      <c r="BB328" s="7"/>
      <c r="BC328" s="7"/>
      <c r="BD328" s="7"/>
      <c r="BE328" s="7"/>
      <c r="BF328" s="7"/>
      <c r="BG328" s="7"/>
    </row>
    <row r="329" spans="1:59">
      <c r="A329" s="7"/>
      <c r="B329" s="7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  <c r="AA329" s="7"/>
      <c r="AB329" s="7"/>
      <c r="AC329" s="7"/>
      <c r="AD329" s="7"/>
      <c r="AE329" s="7"/>
      <c r="AF329" s="7"/>
      <c r="AG329" s="7"/>
      <c r="AH329" s="7"/>
      <c r="AI329" s="7"/>
      <c r="AJ329" s="7"/>
      <c r="AK329" s="7"/>
      <c r="AL329" s="7"/>
      <c r="AM329" s="7"/>
      <c r="AN329" s="7"/>
      <c r="AO329" s="7"/>
      <c r="AP329" s="7"/>
      <c r="AQ329" s="7"/>
      <c r="AR329" s="7"/>
      <c r="AS329" s="7"/>
      <c r="AT329" s="7"/>
      <c r="AU329" s="7"/>
      <c r="AV329" s="7"/>
      <c r="AW329" s="7"/>
      <c r="AX329" s="7"/>
      <c r="AY329" s="7"/>
      <c r="AZ329" s="7"/>
      <c r="BA329" s="7"/>
      <c r="BB329" s="7"/>
      <c r="BC329" s="7"/>
      <c r="BD329" s="7"/>
      <c r="BE329" s="7"/>
      <c r="BF329" s="7"/>
      <c r="BG329" s="7"/>
    </row>
    <row r="330" spans="1:59">
      <c r="A330" s="7"/>
      <c r="B330" s="7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  <c r="AA330" s="7"/>
      <c r="AB330" s="7"/>
      <c r="AC330" s="7"/>
      <c r="AD330" s="7"/>
      <c r="AE330" s="7"/>
      <c r="AF330" s="7"/>
      <c r="AG330" s="7"/>
      <c r="AH330" s="7"/>
      <c r="AI330" s="7"/>
      <c r="AJ330" s="7"/>
      <c r="AK330" s="7"/>
      <c r="AL330" s="7"/>
      <c r="AM330" s="7"/>
      <c r="AN330" s="7"/>
      <c r="AO330" s="7"/>
      <c r="AP330" s="7"/>
      <c r="AQ330" s="7"/>
      <c r="AR330" s="7"/>
      <c r="AS330" s="7"/>
      <c r="AT330" s="7"/>
      <c r="AU330" s="7"/>
      <c r="AV330" s="7"/>
      <c r="AW330" s="7"/>
      <c r="AX330" s="7"/>
      <c r="AY330" s="7"/>
      <c r="AZ330" s="7"/>
      <c r="BA330" s="7"/>
      <c r="BB330" s="7"/>
      <c r="BC330" s="7"/>
      <c r="BD330" s="7"/>
      <c r="BE330" s="7"/>
      <c r="BF330" s="7"/>
      <c r="BG330" s="7"/>
    </row>
    <row r="331" spans="1:59">
      <c r="A331" s="7"/>
      <c r="B331" s="7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  <c r="AA331" s="7"/>
      <c r="AB331" s="7"/>
      <c r="AC331" s="7"/>
      <c r="AD331" s="7"/>
      <c r="AE331" s="7"/>
      <c r="AF331" s="7"/>
      <c r="AG331" s="7"/>
      <c r="AH331" s="7"/>
      <c r="AI331" s="7"/>
      <c r="AJ331" s="7"/>
      <c r="AK331" s="7"/>
      <c r="AL331" s="7"/>
      <c r="AM331" s="7"/>
      <c r="AN331" s="7"/>
      <c r="AO331" s="7"/>
      <c r="AP331" s="7"/>
      <c r="AQ331" s="7"/>
      <c r="AR331" s="7"/>
      <c r="AS331" s="7"/>
      <c r="AT331" s="7"/>
      <c r="AU331" s="7"/>
      <c r="AV331" s="7"/>
      <c r="AW331" s="7"/>
      <c r="AX331" s="7"/>
      <c r="AY331" s="7"/>
      <c r="AZ331" s="7"/>
      <c r="BA331" s="7"/>
      <c r="BB331" s="7"/>
      <c r="BC331" s="7"/>
      <c r="BD331" s="7"/>
      <c r="BE331" s="7"/>
      <c r="BF331" s="7"/>
      <c r="BG331" s="7"/>
    </row>
    <row r="332" spans="1:59">
      <c r="A332" s="7"/>
      <c r="B332" s="7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  <c r="AA332" s="7"/>
      <c r="AB332" s="7"/>
      <c r="AC332" s="7"/>
      <c r="AD332" s="7"/>
      <c r="AE332" s="7"/>
      <c r="AF332" s="7"/>
      <c r="AG332" s="7"/>
      <c r="AH332" s="7"/>
      <c r="AI332" s="7"/>
      <c r="AJ332" s="7"/>
      <c r="AK332" s="7"/>
      <c r="AL332" s="7"/>
      <c r="AM332" s="7"/>
      <c r="AN332" s="7"/>
      <c r="AO332" s="7"/>
      <c r="AP332" s="7"/>
      <c r="AQ332" s="7"/>
      <c r="AR332" s="7"/>
      <c r="AS332" s="7"/>
      <c r="AT332" s="7"/>
      <c r="AU332" s="7"/>
      <c r="AV332" s="7"/>
      <c r="AW332" s="7"/>
      <c r="AX332" s="7"/>
      <c r="AY332" s="7"/>
      <c r="AZ332" s="7"/>
      <c r="BA332" s="7"/>
      <c r="BB332" s="7"/>
      <c r="BC332" s="7"/>
      <c r="BD332" s="7"/>
      <c r="BE332" s="7"/>
      <c r="BF332" s="7"/>
      <c r="BG332" s="7"/>
    </row>
    <row r="333" spans="1:59">
      <c r="A333" s="7"/>
      <c r="B333" s="7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  <c r="AA333" s="7"/>
      <c r="AB333" s="7"/>
      <c r="AC333" s="7"/>
      <c r="AD333" s="7"/>
      <c r="AE333" s="7"/>
      <c r="AF333" s="7"/>
      <c r="AG333" s="7"/>
      <c r="AH333" s="7"/>
      <c r="AI333" s="7"/>
      <c r="AJ333" s="7"/>
      <c r="AK333" s="7"/>
      <c r="AL333" s="7"/>
      <c r="AM333" s="7"/>
      <c r="AN333" s="7"/>
      <c r="AO333" s="7"/>
      <c r="AP333" s="7"/>
      <c r="AQ333" s="7"/>
      <c r="AR333" s="7"/>
      <c r="AS333" s="7"/>
      <c r="AT333" s="7"/>
      <c r="AU333" s="7"/>
      <c r="AV333" s="7"/>
      <c r="AW333" s="7"/>
      <c r="AX333" s="7"/>
      <c r="AY333" s="7"/>
      <c r="AZ333" s="7"/>
      <c r="BA333" s="7"/>
      <c r="BB333" s="7"/>
      <c r="BC333" s="7"/>
      <c r="BD333" s="7"/>
      <c r="BE333" s="7"/>
      <c r="BF333" s="7"/>
      <c r="BG333" s="7"/>
    </row>
    <row r="334" spans="1:59">
      <c r="A334" s="7"/>
      <c r="B334" s="7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  <c r="AA334" s="7"/>
      <c r="AB334" s="7"/>
      <c r="AC334" s="7"/>
      <c r="AD334" s="7"/>
      <c r="AE334" s="7"/>
      <c r="AF334" s="7"/>
      <c r="AG334" s="7"/>
      <c r="AH334" s="7"/>
      <c r="AI334" s="7"/>
      <c r="AJ334" s="7"/>
      <c r="AK334" s="7"/>
      <c r="AL334" s="7"/>
      <c r="AM334" s="7"/>
      <c r="AN334" s="7"/>
      <c r="AO334" s="7"/>
      <c r="AP334" s="7"/>
      <c r="AQ334" s="7"/>
      <c r="AR334" s="7"/>
      <c r="AS334" s="7"/>
      <c r="AT334" s="7"/>
      <c r="AU334" s="7"/>
      <c r="AV334" s="7"/>
      <c r="AW334" s="7"/>
      <c r="AX334" s="7"/>
      <c r="AY334" s="7"/>
      <c r="AZ334" s="7"/>
      <c r="BA334" s="7"/>
      <c r="BB334" s="7"/>
      <c r="BC334" s="7"/>
      <c r="BD334" s="7"/>
      <c r="BE334" s="7"/>
      <c r="BF334" s="7"/>
      <c r="BG334" s="7"/>
    </row>
    <row r="335" spans="1:59">
      <c r="A335" s="7"/>
      <c r="B335" s="7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  <c r="AA335" s="7"/>
      <c r="AB335" s="7"/>
      <c r="AC335" s="7"/>
      <c r="AD335" s="7"/>
      <c r="AE335" s="7"/>
      <c r="AF335" s="7"/>
      <c r="AG335" s="7"/>
      <c r="AH335" s="7"/>
      <c r="AI335" s="7"/>
      <c r="AJ335" s="7"/>
      <c r="AK335" s="7"/>
      <c r="AL335" s="7"/>
      <c r="AM335" s="7"/>
      <c r="AN335" s="7"/>
      <c r="AO335" s="7"/>
      <c r="AP335" s="7"/>
      <c r="AQ335" s="7"/>
      <c r="AR335" s="7"/>
      <c r="AS335" s="7"/>
      <c r="AT335" s="7"/>
      <c r="AU335" s="7"/>
      <c r="AV335" s="7"/>
      <c r="AW335" s="7"/>
      <c r="AX335" s="7"/>
      <c r="AY335" s="7"/>
      <c r="AZ335" s="7"/>
      <c r="BA335" s="7"/>
      <c r="BB335" s="7"/>
      <c r="BC335" s="7"/>
      <c r="BD335" s="7"/>
      <c r="BE335" s="7"/>
      <c r="BF335" s="7"/>
      <c r="BG335" s="7"/>
    </row>
    <row r="336" spans="1:59">
      <c r="A336" s="7"/>
      <c r="B336" s="7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  <c r="AA336" s="7"/>
      <c r="AB336" s="7"/>
      <c r="AC336" s="7"/>
      <c r="AD336" s="7"/>
      <c r="AE336" s="7"/>
      <c r="AF336" s="7"/>
      <c r="AG336" s="7"/>
      <c r="AH336" s="7"/>
      <c r="AI336" s="7"/>
      <c r="AJ336" s="7"/>
      <c r="AK336" s="7"/>
      <c r="AL336" s="7"/>
      <c r="AM336" s="7"/>
      <c r="AN336" s="7"/>
      <c r="AO336" s="7"/>
      <c r="AP336" s="7"/>
      <c r="AQ336" s="7"/>
      <c r="AR336" s="7"/>
      <c r="AS336" s="7"/>
      <c r="AT336" s="7"/>
      <c r="AU336" s="7"/>
      <c r="AV336" s="7"/>
      <c r="AW336" s="7"/>
      <c r="AX336" s="7"/>
      <c r="AY336" s="7"/>
      <c r="AZ336" s="7"/>
      <c r="BA336" s="7"/>
      <c r="BB336" s="7"/>
      <c r="BC336" s="7"/>
      <c r="BD336" s="7"/>
      <c r="BE336" s="7"/>
      <c r="BF336" s="7"/>
      <c r="BG336" s="7"/>
    </row>
    <row r="337" spans="1:59">
      <c r="A337" s="7"/>
      <c r="B337" s="7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  <c r="AA337" s="7"/>
      <c r="AB337" s="7"/>
      <c r="AC337" s="7"/>
      <c r="AD337" s="7"/>
      <c r="AE337" s="7"/>
      <c r="AF337" s="7"/>
      <c r="AG337" s="7"/>
      <c r="AH337" s="7"/>
      <c r="AI337" s="7"/>
      <c r="AJ337" s="7"/>
      <c r="AK337" s="7"/>
      <c r="AL337" s="7"/>
      <c r="AM337" s="7"/>
      <c r="AN337" s="7"/>
      <c r="AO337" s="7"/>
      <c r="AP337" s="7"/>
      <c r="AQ337" s="7"/>
      <c r="AR337" s="7"/>
      <c r="AS337" s="7"/>
      <c r="AT337" s="7"/>
      <c r="AU337" s="7"/>
      <c r="AV337" s="7"/>
      <c r="AW337" s="7"/>
      <c r="AX337" s="7"/>
      <c r="AY337" s="7"/>
      <c r="AZ337" s="7"/>
      <c r="BA337" s="7"/>
      <c r="BB337" s="7"/>
      <c r="BC337" s="7"/>
      <c r="BD337" s="7"/>
      <c r="BE337" s="7"/>
      <c r="BF337" s="7"/>
      <c r="BG337" s="7"/>
    </row>
    <row r="338" spans="1:59">
      <c r="A338" s="7"/>
      <c r="B338" s="7"/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  <c r="AA338" s="7"/>
      <c r="AB338" s="7"/>
      <c r="AC338" s="7"/>
      <c r="AD338" s="7"/>
      <c r="AE338" s="7"/>
      <c r="AF338" s="7"/>
      <c r="AG338" s="7"/>
      <c r="AH338" s="7"/>
      <c r="AI338" s="7"/>
      <c r="AJ338" s="7"/>
      <c r="AK338" s="7"/>
      <c r="AL338" s="7"/>
      <c r="AM338" s="7"/>
      <c r="AN338" s="7"/>
      <c r="AO338" s="7"/>
      <c r="AP338" s="7"/>
      <c r="AQ338" s="7"/>
      <c r="AR338" s="7"/>
      <c r="AS338" s="7"/>
      <c r="AT338" s="7"/>
      <c r="AU338" s="7"/>
      <c r="AV338" s="7"/>
      <c r="AW338" s="7"/>
      <c r="AX338" s="7"/>
      <c r="AY338" s="7"/>
      <c r="AZ338" s="7"/>
      <c r="BA338" s="7"/>
      <c r="BB338" s="7"/>
      <c r="BC338" s="7"/>
      <c r="BD338" s="7"/>
      <c r="BE338" s="7"/>
      <c r="BF338" s="7"/>
      <c r="BG338" s="7"/>
    </row>
    <row r="339" spans="1:59">
      <c r="A339" s="7"/>
      <c r="B339" s="7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  <c r="AA339" s="7"/>
      <c r="AB339" s="7"/>
      <c r="AC339" s="7"/>
      <c r="AD339" s="7"/>
      <c r="AE339" s="7"/>
      <c r="AF339" s="7"/>
      <c r="AG339" s="7"/>
      <c r="AH339" s="7"/>
      <c r="AI339" s="7"/>
      <c r="AJ339" s="7"/>
      <c r="AK339" s="7"/>
      <c r="AL339" s="7"/>
      <c r="AM339" s="7"/>
      <c r="AN339" s="7"/>
      <c r="AO339" s="7"/>
      <c r="AP339" s="7"/>
      <c r="AQ339" s="7"/>
      <c r="AR339" s="7"/>
      <c r="AS339" s="7"/>
      <c r="AT339" s="7"/>
      <c r="AU339" s="7"/>
      <c r="AV339" s="7"/>
      <c r="AW339" s="7"/>
      <c r="AX339" s="7"/>
      <c r="AY339" s="7"/>
      <c r="AZ339" s="7"/>
      <c r="BA339" s="7"/>
      <c r="BB339" s="7"/>
      <c r="BC339" s="7"/>
      <c r="BD339" s="7"/>
      <c r="BE339" s="7"/>
      <c r="BF339" s="7"/>
      <c r="BG339" s="7"/>
    </row>
    <row r="340" spans="1:59">
      <c r="A340" s="7"/>
      <c r="B340" s="7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  <c r="AA340" s="7"/>
      <c r="AB340" s="7"/>
      <c r="AC340" s="7"/>
      <c r="AD340" s="7"/>
      <c r="AE340" s="7"/>
      <c r="AF340" s="7"/>
      <c r="AG340" s="7"/>
      <c r="AH340" s="7"/>
      <c r="AI340" s="7"/>
      <c r="AJ340" s="7"/>
      <c r="AK340" s="7"/>
      <c r="AL340" s="7"/>
      <c r="AM340" s="7"/>
      <c r="AN340" s="7"/>
      <c r="AO340" s="7"/>
      <c r="AP340" s="7"/>
      <c r="AQ340" s="7"/>
      <c r="AR340" s="7"/>
      <c r="AS340" s="7"/>
      <c r="AT340" s="7"/>
      <c r="AU340" s="7"/>
      <c r="AV340" s="7"/>
      <c r="AW340" s="7"/>
      <c r="AX340" s="7"/>
      <c r="AY340" s="7"/>
      <c r="AZ340" s="7"/>
      <c r="BA340" s="7"/>
      <c r="BB340" s="7"/>
      <c r="BC340" s="7"/>
      <c r="BD340" s="7"/>
      <c r="BE340" s="7"/>
      <c r="BF340" s="7"/>
      <c r="BG340" s="7"/>
    </row>
    <row r="341" spans="1:59">
      <c r="A341" s="7"/>
      <c r="B341" s="7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  <c r="AA341" s="7"/>
      <c r="AB341" s="7"/>
      <c r="AC341" s="7"/>
      <c r="AD341" s="7"/>
      <c r="AE341" s="7"/>
      <c r="AF341" s="7"/>
      <c r="AG341" s="7"/>
      <c r="AH341" s="7"/>
      <c r="AI341" s="7"/>
      <c r="AJ341" s="7"/>
      <c r="AK341" s="7"/>
      <c r="AL341" s="7"/>
      <c r="AM341" s="7"/>
      <c r="AN341" s="7"/>
      <c r="AO341" s="7"/>
      <c r="AP341" s="7"/>
      <c r="AQ341" s="7"/>
      <c r="AR341" s="7"/>
      <c r="AS341" s="7"/>
      <c r="AT341" s="7"/>
      <c r="AU341" s="7"/>
      <c r="AV341" s="7"/>
      <c r="AW341" s="7"/>
      <c r="AX341" s="7"/>
      <c r="AY341" s="7"/>
      <c r="AZ341" s="7"/>
      <c r="BA341" s="7"/>
      <c r="BB341" s="7"/>
      <c r="BC341" s="7"/>
      <c r="BD341" s="7"/>
      <c r="BE341" s="7"/>
      <c r="BF341" s="7"/>
      <c r="BG341" s="7"/>
    </row>
    <row r="342" spans="1:59">
      <c r="A342" s="7"/>
      <c r="B342" s="7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  <c r="AA342" s="7"/>
      <c r="AB342" s="7"/>
      <c r="AC342" s="7"/>
      <c r="AD342" s="7"/>
      <c r="AE342" s="7"/>
      <c r="AF342" s="7"/>
      <c r="AG342" s="7"/>
      <c r="AH342" s="7"/>
      <c r="AI342" s="7"/>
      <c r="AJ342" s="7"/>
      <c r="AK342" s="7"/>
      <c r="AL342" s="7"/>
      <c r="AM342" s="7"/>
      <c r="AN342" s="7"/>
      <c r="AO342" s="7"/>
      <c r="AP342" s="7"/>
      <c r="AQ342" s="7"/>
      <c r="AR342" s="7"/>
      <c r="AS342" s="7"/>
      <c r="AT342" s="7"/>
      <c r="AU342" s="7"/>
      <c r="AV342" s="7"/>
      <c r="AW342" s="7"/>
      <c r="AX342" s="7"/>
      <c r="AY342" s="7"/>
      <c r="AZ342" s="7"/>
      <c r="BA342" s="7"/>
      <c r="BB342" s="7"/>
      <c r="BC342" s="7"/>
      <c r="BD342" s="7"/>
      <c r="BE342" s="7"/>
      <c r="BF342" s="7"/>
      <c r="BG342" s="7"/>
    </row>
    <row r="343" spans="1:59">
      <c r="A343" s="7"/>
      <c r="B343" s="7"/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  <c r="AA343" s="7"/>
      <c r="AB343" s="7"/>
      <c r="AC343" s="7"/>
      <c r="AD343" s="7"/>
      <c r="AE343" s="7"/>
      <c r="AF343" s="7"/>
      <c r="AG343" s="7"/>
      <c r="AH343" s="7"/>
      <c r="AI343" s="7"/>
      <c r="AJ343" s="7"/>
      <c r="AK343" s="7"/>
      <c r="AL343" s="7"/>
      <c r="AM343" s="7"/>
      <c r="AN343" s="7"/>
      <c r="AO343" s="7"/>
      <c r="AP343" s="7"/>
      <c r="AQ343" s="7"/>
      <c r="AR343" s="7"/>
      <c r="AS343" s="7"/>
      <c r="AT343" s="7"/>
      <c r="AU343" s="7"/>
      <c r="AV343" s="7"/>
      <c r="AW343" s="7"/>
      <c r="AX343" s="7"/>
      <c r="AY343" s="7"/>
      <c r="AZ343" s="7"/>
      <c r="BA343" s="7"/>
      <c r="BB343" s="7"/>
      <c r="BC343" s="7"/>
      <c r="BD343" s="7"/>
      <c r="BE343" s="7"/>
      <c r="BF343" s="7"/>
      <c r="BG343" s="7"/>
    </row>
    <row r="344" spans="1:59">
      <c r="A344" s="7"/>
      <c r="B344" s="7"/>
      <c r="C344" s="7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  <c r="AA344" s="7"/>
      <c r="AB344" s="7"/>
      <c r="AC344" s="7"/>
      <c r="AD344" s="7"/>
      <c r="AE344" s="7"/>
      <c r="AF344" s="7"/>
      <c r="AG344" s="7"/>
      <c r="AH344" s="7"/>
      <c r="AI344" s="7"/>
      <c r="AJ344" s="7"/>
      <c r="AK344" s="7"/>
      <c r="AL344" s="7"/>
      <c r="AM344" s="7"/>
      <c r="AN344" s="7"/>
      <c r="AO344" s="7"/>
      <c r="AP344" s="7"/>
      <c r="AQ344" s="7"/>
      <c r="AR344" s="7"/>
      <c r="AS344" s="7"/>
      <c r="AT344" s="7"/>
      <c r="AU344" s="7"/>
      <c r="AV344" s="7"/>
      <c r="AW344" s="7"/>
      <c r="AX344" s="7"/>
      <c r="AY344" s="7"/>
      <c r="AZ344" s="7"/>
      <c r="BA344" s="7"/>
      <c r="BB344" s="7"/>
      <c r="BC344" s="7"/>
      <c r="BD344" s="7"/>
      <c r="BE344" s="7"/>
      <c r="BF344" s="7"/>
      <c r="BG344" s="7"/>
    </row>
    <row r="345" spans="1:59">
      <c r="A345" s="7"/>
      <c r="B345" s="7"/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  <c r="AA345" s="7"/>
      <c r="AB345" s="7"/>
      <c r="AC345" s="7"/>
      <c r="AD345" s="7"/>
      <c r="AE345" s="7"/>
      <c r="AF345" s="7"/>
      <c r="AG345" s="7"/>
      <c r="AH345" s="7"/>
      <c r="AI345" s="7"/>
      <c r="AJ345" s="7"/>
      <c r="AK345" s="7"/>
      <c r="AL345" s="7"/>
      <c r="AM345" s="7"/>
      <c r="AN345" s="7"/>
      <c r="AO345" s="7"/>
      <c r="AP345" s="7"/>
      <c r="AQ345" s="7"/>
      <c r="AR345" s="7"/>
      <c r="AS345" s="7"/>
      <c r="AT345" s="7"/>
      <c r="AU345" s="7"/>
      <c r="AV345" s="7"/>
      <c r="AW345" s="7"/>
      <c r="AX345" s="7"/>
      <c r="AY345" s="7"/>
      <c r="AZ345" s="7"/>
      <c r="BA345" s="7"/>
      <c r="BB345" s="7"/>
      <c r="BC345" s="7"/>
      <c r="BD345" s="7"/>
      <c r="BE345" s="7"/>
      <c r="BF345" s="7"/>
      <c r="BG345" s="7"/>
    </row>
    <row r="346" spans="1:59">
      <c r="A346" s="7"/>
      <c r="B346" s="7"/>
      <c r="C346" s="7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  <c r="AA346" s="7"/>
      <c r="AB346" s="7"/>
      <c r="AC346" s="7"/>
      <c r="AD346" s="7"/>
      <c r="AE346" s="7"/>
      <c r="AF346" s="7"/>
      <c r="AG346" s="7"/>
      <c r="AH346" s="7"/>
      <c r="AI346" s="7"/>
      <c r="AJ346" s="7"/>
      <c r="AK346" s="7"/>
      <c r="AL346" s="7"/>
      <c r="AM346" s="7"/>
      <c r="AN346" s="7"/>
      <c r="AO346" s="7"/>
      <c r="AP346" s="7"/>
      <c r="AQ346" s="7"/>
      <c r="AR346" s="7"/>
      <c r="AS346" s="7"/>
      <c r="AT346" s="7"/>
      <c r="AU346" s="7"/>
      <c r="AV346" s="7"/>
      <c r="AW346" s="7"/>
      <c r="AX346" s="7"/>
      <c r="AY346" s="7"/>
      <c r="AZ346" s="7"/>
      <c r="BA346" s="7"/>
      <c r="BB346" s="7"/>
      <c r="BC346" s="7"/>
      <c r="BD346" s="7"/>
      <c r="BE346" s="7"/>
      <c r="BF346" s="7"/>
      <c r="BG346" s="7"/>
    </row>
    <row r="347" spans="1:59">
      <c r="A347" s="7"/>
      <c r="B347" s="7"/>
      <c r="C347" s="7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  <c r="AA347" s="7"/>
      <c r="AB347" s="7"/>
      <c r="AC347" s="7"/>
      <c r="AD347" s="7"/>
      <c r="AE347" s="7"/>
      <c r="AF347" s="7"/>
      <c r="AG347" s="7"/>
      <c r="AH347" s="7"/>
      <c r="AI347" s="7"/>
      <c r="AJ347" s="7"/>
      <c r="AK347" s="7"/>
      <c r="AL347" s="7"/>
      <c r="AM347" s="7"/>
      <c r="AN347" s="7"/>
      <c r="AO347" s="7"/>
      <c r="AP347" s="7"/>
      <c r="AQ347" s="7"/>
      <c r="AR347" s="7"/>
      <c r="AS347" s="7"/>
      <c r="AT347" s="7"/>
      <c r="AU347" s="7"/>
      <c r="AV347" s="7"/>
      <c r="AW347" s="7"/>
      <c r="AX347" s="7"/>
      <c r="AY347" s="7"/>
      <c r="AZ347" s="7"/>
      <c r="BA347" s="7"/>
      <c r="BB347" s="7"/>
      <c r="BC347" s="7"/>
      <c r="BD347" s="7"/>
      <c r="BE347" s="7"/>
      <c r="BF347" s="7"/>
      <c r="BG347" s="7"/>
    </row>
    <row r="348" spans="1:59">
      <c r="A348" s="7"/>
      <c r="B348" s="7"/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  <c r="AA348" s="7"/>
      <c r="AB348" s="7"/>
      <c r="AC348" s="7"/>
      <c r="AD348" s="7"/>
      <c r="AE348" s="7"/>
      <c r="AF348" s="7"/>
      <c r="AG348" s="7"/>
      <c r="AH348" s="7"/>
      <c r="AI348" s="7"/>
      <c r="AJ348" s="7"/>
      <c r="AK348" s="7"/>
      <c r="AL348" s="7"/>
      <c r="AM348" s="7"/>
      <c r="AN348" s="7"/>
      <c r="AO348" s="7"/>
      <c r="AP348" s="7"/>
      <c r="AQ348" s="7"/>
      <c r="AR348" s="7"/>
      <c r="AS348" s="7"/>
      <c r="AT348" s="7"/>
      <c r="AU348" s="7"/>
      <c r="AV348" s="7"/>
      <c r="AW348" s="7"/>
      <c r="AX348" s="7"/>
      <c r="AY348" s="7"/>
      <c r="AZ348" s="7"/>
      <c r="BA348" s="7"/>
      <c r="BB348" s="7"/>
      <c r="BC348" s="7"/>
      <c r="BD348" s="7"/>
      <c r="BE348" s="7"/>
      <c r="BF348" s="7"/>
      <c r="BG348" s="7"/>
    </row>
    <row r="349" spans="1:59">
      <c r="A349" s="7"/>
      <c r="B349" s="7"/>
      <c r="C349" s="7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  <c r="AA349" s="7"/>
      <c r="AB349" s="7"/>
      <c r="AC349" s="7"/>
      <c r="AD349" s="7"/>
      <c r="AE349" s="7"/>
      <c r="AF349" s="7"/>
      <c r="AG349" s="7"/>
      <c r="AH349" s="7"/>
      <c r="AI349" s="7"/>
      <c r="AJ349" s="7"/>
      <c r="AK349" s="7"/>
      <c r="AL349" s="7"/>
      <c r="AM349" s="7"/>
      <c r="AN349" s="7"/>
      <c r="AO349" s="7"/>
      <c r="AP349" s="7"/>
      <c r="AQ349" s="7"/>
      <c r="AR349" s="7"/>
      <c r="AS349" s="7"/>
      <c r="AT349" s="7"/>
      <c r="AU349" s="7"/>
      <c r="AV349" s="7"/>
      <c r="AW349" s="7"/>
      <c r="AX349" s="7"/>
      <c r="AY349" s="7"/>
      <c r="AZ349" s="7"/>
      <c r="BA349" s="7"/>
      <c r="BB349" s="7"/>
      <c r="BC349" s="7"/>
      <c r="BD349" s="7"/>
      <c r="BE349" s="7"/>
      <c r="BF349" s="7"/>
      <c r="BG349" s="7"/>
    </row>
    <row r="350" spans="1:59">
      <c r="A350" s="7"/>
      <c r="B350" s="7"/>
      <c r="C350" s="7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  <c r="AA350" s="7"/>
      <c r="AB350" s="7"/>
      <c r="AC350" s="7"/>
      <c r="AD350" s="7"/>
      <c r="AE350" s="7"/>
      <c r="AF350" s="7"/>
      <c r="AG350" s="7"/>
      <c r="AH350" s="7"/>
      <c r="AI350" s="7"/>
      <c r="AJ350" s="7"/>
      <c r="AK350" s="7"/>
      <c r="AL350" s="7"/>
      <c r="AM350" s="7"/>
      <c r="AN350" s="7"/>
      <c r="AO350" s="7"/>
      <c r="AP350" s="7"/>
      <c r="AQ350" s="7"/>
      <c r="AR350" s="7"/>
      <c r="AS350" s="7"/>
      <c r="AT350" s="7"/>
      <c r="AU350" s="7"/>
      <c r="AV350" s="7"/>
      <c r="AW350" s="7"/>
      <c r="AX350" s="7"/>
      <c r="AY350" s="7"/>
      <c r="AZ350" s="7"/>
      <c r="BA350" s="7"/>
      <c r="BB350" s="7"/>
      <c r="BC350" s="7"/>
      <c r="BD350" s="7"/>
      <c r="BE350" s="7"/>
      <c r="BF350" s="7"/>
      <c r="BG350" s="7"/>
    </row>
    <row r="351" spans="1:59">
      <c r="A351" s="7"/>
      <c r="B351" s="7"/>
      <c r="C351" s="7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  <c r="AA351" s="7"/>
      <c r="AB351" s="7"/>
      <c r="AC351" s="7"/>
      <c r="AD351" s="7"/>
      <c r="AE351" s="7"/>
      <c r="AF351" s="7"/>
      <c r="AG351" s="7"/>
      <c r="AH351" s="7"/>
      <c r="AI351" s="7"/>
      <c r="AJ351" s="7"/>
      <c r="AK351" s="7"/>
      <c r="AL351" s="7"/>
      <c r="AM351" s="7"/>
      <c r="AN351" s="7"/>
      <c r="AO351" s="7"/>
      <c r="AP351" s="7"/>
      <c r="AQ351" s="7"/>
      <c r="AR351" s="7"/>
      <c r="AS351" s="7"/>
      <c r="AT351" s="7"/>
      <c r="AU351" s="7"/>
      <c r="AV351" s="7"/>
      <c r="AW351" s="7"/>
      <c r="AX351" s="7"/>
      <c r="AY351" s="7"/>
      <c r="AZ351" s="7"/>
      <c r="BA351" s="7"/>
      <c r="BB351" s="7"/>
      <c r="BC351" s="7"/>
      <c r="BD351" s="7"/>
      <c r="BE351" s="7"/>
      <c r="BF351" s="7"/>
      <c r="BG351" s="7"/>
    </row>
    <row r="352" spans="1:59">
      <c r="A352" s="7"/>
      <c r="B352" s="7"/>
      <c r="C352" s="7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  <c r="AA352" s="7"/>
      <c r="AB352" s="7"/>
      <c r="AC352" s="7"/>
      <c r="AD352" s="7"/>
      <c r="AE352" s="7"/>
      <c r="AF352" s="7"/>
      <c r="AG352" s="7"/>
      <c r="AH352" s="7"/>
      <c r="AI352" s="7"/>
      <c r="AJ352" s="7"/>
      <c r="AK352" s="7"/>
      <c r="AL352" s="7"/>
      <c r="AM352" s="7"/>
      <c r="AN352" s="7"/>
      <c r="AO352" s="7"/>
      <c r="AP352" s="7"/>
      <c r="AQ352" s="7"/>
      <c r="AR352" s="7"/>
      <c r="AS352" s="7"/>
      <c r="AT352" s="7"/>
      <c r="AU352" s="7"/>
      <c r="AV352" s="7"/>
      <c r="AW352" s="7"/>
      <c r="AX352" s="7"/>
      <c r="AY352" s="7"/>
      <c r="AZ352" s="7"/>
      <c r="BA352" s="7"/>
      <c r="BB352" s="7"/>
      <c r="BC352" s="7"/>
      <c r="BD352" s="7"/>
      <c r="BE352" s="7"/>
      <c r="BF352" s="7"/>
      <c r="BG352" s="7"/>
    </row>
    <row r="353" spans="1:59">
      <c r="A353" s="7"/>
      <c r="B353" s="7"/>
      <c r="C353" s="7"/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  <c r="AA353" s="7"/>
      <c r="AB353" s="7"/>
      <c r="AC353" s="7"/>
      <c r="AD353" s="7"/>
      <c r="AE353" s="7"/>
      <c r="AF353" s="7"/>
      <c r="AG353" s="7"/>
      <c r="AH353" s="7"/>
      <c r="AI353" s="7"/>
      <c r="AJ353" s="7"/>
      <c r="AK353" s="7"/>
      <c r="AL353" s="7"/>
      <c r="AM353" s="7"/>
      <c r="AN353" s="7"/>
      <c r="AO353" s="7"/>
      <c r="AP353" s="7"/>
      <c r="AQ353" s="7"/>
      <c r="AR353" s="7"/>
      <c r="AS353" s="7"/>
      <c r="AT353" s="7"/>
      <c r="AU353" s="7"/>
      <c r="AV353" s="7"/>
      <c r="AW353" s="7"/>
      <c r="AX353" s="7"/>
      <c r="AY353" s="7"/>
      <c r="AZ353" s="7"/>
      <c r="BA353" s="7"/>
      <c r="BB353" s="7"/>
      <c r="BC353" s="7"/>
      <c r="BD353" s="7"/>
      <c r="BE353" s="7"/>
      <c r="BF353" s="7"/>
      <c r="BG353" s="7"/>
    </row>
    <row r="354" spans="1:59">
      <c r="A354" s="7"/>
      <c r="B354" s="7"/>
      <c r="C354" s="7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  <c r="AA354" s="7"/>
      <c r="AB354" s="7"/>
      <c r="AC354" s="7"/>
      <c r="AD354" s="7"/>
      <c r="AE354" s="7"/>
      <c r="AF354" s="7"/>
      <c r="AG354" s="7"/>
      <c r="AH354" s="7"/>
      <c r="AI354" s="7"/>
      <c r="AJ354" s="7"/>
      <c r="AK354" s="7"/>
      <c r="AL354" s="7"/>
      <c r="AM354" s="7"/>
      <c r="AN354" s="7"/>
      <c r="AO354" s="7"/>
      <c r="AP354" s="7"/>
      <c r="AQ354" s="7"/>
      <c r="AR354" s="7"/>
      <c r="AS354" s="7"/>
      <c r="AT354" s="7"/>
      <c r="AU354" s="7"/>
      <c r="AV354" s="7"/>
      <c r="AW354" s="7"/>
      <c r="AX354" s="7"/>
      <c r="AY354" s="7"/>
      <c r="AZ354" s="7"/>
      <c r="BA354" s="7"/>
      <c r="BB354" s="7"/>
      <c r="BC354" s="7"/>
      <c r="BD354" s="7"/>
      <c r="BE354" s="7"/>
      <c r="BF354" s="7"/>
      <c r="BG354" s="7"/>
    </row>
    <row r="355" spans="1:59">
      <c r="A355" s="7"/>
      <c r="B355" s="7"/>
      <c r="C355" s="7"/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  <c r="AA355" s="7"/>
      <c r="AB355" s="7"/>
      <c r="AC355" s="7"/>
      <c r="AD355" s="7"/>
      <c r="AE355" s="7"/>
      <c r="AF355" s="7"/>
      <c r="AG355" s="7"/>
      <c r="AH355" s="7"/>
      <c r="AI355" s="7"/>
      <c r="AJ355" s="7"/>
      <c r="AK355" s="7"/>
      <c r="AL355" s="7"/>
      <c r="AM355" s="7"/>
      <c r="AN355" s="7"/>
      <c r="AO355" s="7"/>
      <c r="AP355" s="7"/>
      <c r="AQ355" s="7"/>
      <c r="AR355" s="7"/>
      <c r="AS355" s="7"/>
      <c r="AT355" s="7"/>
      <c r="AU355" s="7"/>
      <c r="AV355" s="7"/>
      <c r="AW355" s="7"/>
      <c r="AX355" s="7"/>
      <c r="AY355" s="7"/>
      <c r="AZ355" s="7"/>
      <c r="BA355" s="7"/>
      <c r="BB355" s="7"/>
      <c r="BC355" s="7"/>
      <c r="BD355" s="7"/>
      <c r="BE355" s="7"/>
      <c r="BF355" s="7"/>
      <c r="BG355" s="7"/>
    </row>
    <row r="356" spans="1:59">
      <c r="A356" s="7"/>
      <c r="B356" s="7"/>
      <c r="C356" s="7"/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  <c r="AA356" s="7"/>
      <c r="AB356" s="7"/>
      <c r="AC356" s="7"/>
      <c r="AD356" s="7"/>
      <c r="AE356" s="7"/>
      <c r="AF356" s="7"/>
      <c r="AG356" s="7"/>
      <c r="AH356" s="7"/>
      <c r="AI356" s="7"/>
      <c r="AJ356" s="7"/>
      <c r="AK356" s="7"/>
      <c r="AL356" s="7"/>
      <c r="AM356" s="7"/>
      <c r="AN356" s="7"/>
      <c r="AO356" s="7"/>
      <c r="AP356" s="7"/>
      <c r="AQ356" s="7"/>
      <c r="AR356" s="7"/>
      <c r="AS356" s="7"/>
      <c r="AT356" s="7"/>
      <c r="AU356" s="7"/>
      <c r="AV356" s="7"/>
      <c r="AW356" s="7"/>
      <c r="AX356" s="7"/>
      <c r="AY356" s="7"/>
      <c r="AZ356" s="7"/>
      <c r="BA356" s="7"/>
      <c r="BB356" s="7"/>
      <c r="BC356" s="7"/>
      <c r="BD356" s="7"/>
      <c r="BE356" s="7"/>
      <c r="BF356" s="7"/>
      <c r="BG356" s="7"/>
    </row>
    <row r="357" spans="1:59">
      <c r="A357" s="7"/>
      <c r="B357" s="7"/>
      <c r="C357" s="7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  <c r="AA357" s="7"/>
      <c r="AB357" s="7"/>
      <c r="AC357" s="7"/>
      <c r="AD357" s="7"/>
      <c r="AE357" s="7"/>
      <c r="AF357" s="7"/>
      <c r="AG357" s="7"/>
      <c r="AH357" s="7"/>
      <c r="AI357" s="7"/>
      <c r="AJ357" s="7"/>
      <c r="AK357" s="7"/>
      <c r="AL357" s="7"/>
      <c r="AM357" s="7"/>
      <c r="AN357" s="7"/>
      <c r="AO357" s="7"/>
      <c r="AP357" s="7"/>
      <c r="AQ357" s="7"/>
      <c r="AR357" s="7"/>
      <c r="AS357" s="7"/>
      <c r="AT357" s="7"/>
      <c r="AU357" s="7"/>
      <c r="AV357" s="7"/>
      <c r="AW357" s="7"/>
      <c r="AX357" s="7"/>
      <c r="AY357" s="7"/>
      <c r="AZ357" s="7"/>
      <c r="BA357" s="7"/>
      <c r="BB357" s="7"/>
      <c r="BC357" s="7"/>
      <c r="BD357" s="7"/>
      <c r="BE357" s="7"/>
      <c r="BF357" s="7"/>
      <c r="BG357" s="7"/>
    </row>
    <row r="358" spans="1:59">
      <c r="A358" s="7"/>
      <c r="B358" s="7"/>
      <c r="C358" s="7"/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  <c r="AA358" s="7"/>
      <c r="AB358" s="7"/>
      <c r="AC358" s="7"/>
      <c r="AD358" s="7"/>
      <c r="AE358" s="7"/>
      <c r="AF358" s="7"/>
      <c r="AG358" s="7"/>
      <c r="AH358" s="7"/>
      <c r="AI358" s="7"/>
      <c r="AJ358" s="7"/>
      <c r="AK358" s="7"/>
      <c r="AL358" s="7"/>
      <c r="AM358" s="7"/>
      <c r="AN358" s="7"/>
      <c r="AO358" s="7"/>
      <c r="AP358" s="7"/>
      <c r="AQ358" s="7"/>
      <c r="AR358" s="7"/>
      <c r="AS358" s="7"/>
      <c r="AT358" s="7"/>
      <c r="AU358" s="7"/>
      <c r="AV358" s="7"/>
      <c r="AW358" s="7"/>
      <c r="AX358" s="7"/>
      <c r="AY358" s="7"/>
      <c r="AZ358" s="7"/>
      <c r="BA358" s="7"/>
      <c r="BB358" s="7"/>
      <c r="BC358" s="7"/>
      <c r="BD358" s="7"/>
      <c r="BE358" s="7"/>
      <c r="BF358" s="7"/>
      <c r="BG358" s="7"/>
    </row>
    <row r="359" spans="1:59">
      <c r="A359" s="7"/>
      <c r="B359" s="7"/>
      <c r="C359" s="7"/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  <c r="AA359" s="7"/>
      <c r="AB359" s="7"/>
      <c r="AC359" s="7"/>
      <c r="AD359" s="7"/>
      <c r="AE359" s="7"/>
      <c r="AF359" s="7"/>
      <c r="AG359" s="7"/>
      <c r="AH359" s="7"/>
      <c r="AI359" s="7"/>
      <c r="AJ359" s="7"/>
      <c r="AK359" s="7"/>
      <c r="AL359" s="7"/>
      <c r="AM359" s="7"/>
      <c r="AN359" s="7"/>
      <c r="AO359" s="7"/>
      <c r="AP359" s="7"/>
      <c r="AQ359" s="7"/>
      <c r="AR359" s="7"/>
      <c r="AS359" s="7"/>
      <c r="AT359" s="7"/>
      <c r="AU359" s="7"/>
      <c r="AV359" s="7"/>
      <c r="AW359" s="7"/>
      <c r="AX359" s="7"/>
      <c r="AY359" s="7"/>
      <c r="AZ359" s="7"/>
      <c r="BA359" s="7"/>
      <c r="BB359" s="7"/>
      <c r="BC359" s="7"/>
      <c r="BD359" s="7"/>
      <c r="BE359" s="7"/>
      <c r="BF359" s="7"/>
      <c r="BG359" s="7"/>
    </row>
    <row r="360" spans="1:59">
      <c r="A360" s="7"/>
      <c r="B360" s="7"/>
      <c r="C360" s="7"/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  <c r="AA360" s="7"/>
      <c r="AB360" s="7"/>
      <c r="AC360" s="7"/>
      <c r="AD360" s="7"/>
      <c r="AE360" s="7"/>
      <c r="AF360" s="7"/>
      <c r="AG360" s="7"/>
      <c r="AH360" s="7"/>
      <c r="AI360" s="7"/>
      <c r="AJ360" s="7"/>
      <c r="AK360" s="7"/>
      <c r="AL360" s="7"/>
      <c r="AM360" s="7"/>
      <c r="AN360" s="7"/>
      <c r="AO360" s="7"/>
      <c r="AP360" s="7"/>
      <c r="AQ360" s="7"/>
      <c r="AR360" s="7"/>
      <c r="AS360" s="7"/>
      <c r="AT360" s="7"/>
      <c r="AU360" s="7"/>
      <c r="AV360" s="7"/>
      <c r="AW360" s="7"/>
      <c r="AX360" s="7"/>
      <c r="AY360" s="7"/>
      <c r="AZ360" s="7"/>
      <c r="BA360" s="7"/>
      <c r="BB360" s="7"/>
      <c r="BC360" s="7"/>
      <c r="BD360" s="7"/>
      <c r="BE360" s="7"/>
      <c r="BF360" s="7"/>
      <c r="BG360" s="7"/>
    </row>
    <row r="361" spans="1:59">
      <c r="A361" s="7"/>
      <c r="B361" s="7"/>
      <c r="C361" s="7"/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  <c r="AA361" s="7"/>
      <c r="AB361" s="7"/>
      <c r="AC361" s="7"/>
      <c r="AD361" s="7"/>
      <c r="AE361" s="7"/>
      <c r="AF361" s="7"/>
      <c r="AG361" s="7"/>
      <c r="AH361" s="7"/>
      <c r="AI361" s="7"/>
      <c r="AJ361" s="7"/>
      <c r="AK361" s="7"/>
      <c r="AL361" s="7"/>
      <c r="AM361" s="7"/>
      <c r="AN361" s="7"/>
      <c r="AO361" s="7"/>
      <c r="AP361" s="7"/>
      <c r="AQ361" s="7"/>
      <c r="AR361" s="7"/>
      <c r="AS361" s="7"/>
      <c r="AT361" s="7"/>
      <c r="AU361" s="7"/>
      <c r="AV361" s="7"/>
      <c r="AW361" s="7"/>
      <c r="AX361" s="7"/>
      <c r="AY361" s="7"/>
      <c r="AZ361" s="7"/>
      <c r="BA361" s="7"/>
      <c r="BB361" s="7"/>
      <c r="BC361" s="7"/>
      <c r="BD361" s="7"/>
      <c r="BE361" s="7"/>
      <c r="BF361" s="7"/>
      <c r="BG361" s="7"/>
    </row>
    <row r="362" spans="1:59">
      <c r="A362" s="7"/>
      <c r="B362" s="7"/>
      <c r="C362" s="7"/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  <c r="AA362" s="7"/>
      <c r="AB362" s="7"/>
      <c r="AC362" s="7"/>
      <c r="AD362" s="7"/>
      <c r="AE362" s="7"/>
      <c r="AF362" s="7"/>
      <c r="AG362" s="7"/>
      <c r="AH362" s="7"/>
      <c r="AI362" s="7"/>
      <c r="AJ362" s="7"/>
      <c r="AK362" s="7"/>
      <c r="AL362" s="7"/>
      <c r="AM362" s="7"/>
      <c r="AN362" s="7"/>
      <c r="AO362" s="7"/>
      <c r="AP362" s="7"/>
      <c r="AQ362" s="7"/>
      <c r="AR362" s="7"/>
      <c r="AS362" s="7"/>
      <c r="AT362" s="7"/>
      <c r="AU362" s="7"/>
      <c r="AV362" s="7"/>
      <c r="AW362" s="7"/>
      <c r="AX362" s="7"/>
      <c r="AY362" s="7"/>
      <c r="AZ362" s="7"/>
      <c r="BA362" s="7"/>
      <c r="BB362" s="7"/>
      <c r="BC362" s="7"/>
      <c r="BD362" s="7"/>
      <c r="BE362" s="7"/>
      <c r="BF362" s="7"/>
      <c r="BG362" s="7"/>
    </row>
    <row r="363" spans="1:59">
      <c r="A363" s="7"/>
      <c r="B363" s="7"/>
      <c r="C363" s="7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  <c r="AA363" s="7"/>
      <c r="AB363" s="7"/>
      <c r="AC363" s="7"/>
      <c r="AD363" s="7"/>
      <c r="AE363" s="7"/>
      <c r="AF363" s="7"/>
      <c r="AG363" s="7"/>
      <c r="AH363" s="7"/>
      <c r="AI363" s="7"/>
      <c r="AJ363" s="7"/>
      <c r="AK363" s="7"/>
      <c r="AL363" s="7"/>
      <c r="AM363" s="7"/>
      <c r="AN363" s="7"/>
      <c r="AO363" s="7"/>
      <c r="AP363" s="7"/>
      <c r="AQ363" s="7"/>
      <c r="AR363" s="7"/>
      <c r="AS363" s="7"/>
      <c r="AT363" s="7"/>
      <c r="AU363" s="7"/>
      <c r="AV363" s="7"/>
      <c r="AW363" s="7"/>
      <c r="AX363" s="7"/>
      <c r="AY363" s="7"/>
      <c r="AZ363" s="7"/>
      <c r="BA363" s="7"/>
      <c r="BB363" s="7"/>
      <c r="BC363" s="7"/>
      <c r="BD363" s="7"/>
      <c r="BE363" s="7"/>
      <c r="BF363" s="7"/>
      <c r="BG363" s="7"/>
    </row>
    <row r="364" spans="1:59">
      <c r="A364" s="7"/>
      <c r="B364" s="7"/>
      <c r="C364" s="7"/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  <c r="AA364" s="7"/>
      <c r="AB364" s="7"/>
      <c r="AC364" s="7"/>
      <c r="AD364" s="7"/>
      <c r="AE364" s="7"/>
      <c r="AF364" s="7"/>
      <c r="AG364" s="7"/>
      <c r="AH364" s="7"/>
      <c r="AI364" s="7"/>
      <c r="AJ364" s="7"/>
      <c r="AK364" s="7"/>
      <c r="AL364" s="7"/>
      <c r="AM364" s="7"/>
      <c r="AN364" s="7"/>
      <c r="AO364" s="7"/>
      <c r="AP364" s="7"/>
      <c r="AQ364" s="7"/>
      <c r="AR364" s="7"/>
      <c r="AS364" s="7"/>
      <c r="AT364" s="7"/>
      <c r="AU364" s="7"/>
      <c r="AV364" s="7"/>
      <c r="AW364" s="7"/>
      <c r="AX364" s="7"/>
      <c r="AY364" s="7"/>
      <c r="AZ364" s="7"/>
      <c r="BA364" s="7"/>
      <c r="BB364" s="7"/>
      <c r="BC364" s="7"/>
      <c r="BD364" s="7"/>
      <c r="BE364" s="7"/>
      <c r="BF364" s="7"/>
      <c r="BG364" s="7"/>
    </row>
    <row r="365" spans="1:59">
      <c r="A365" s="7"/>
      <c r="B365" s="7"/>
      <c r="C365" s="7"/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  <c r="AA365" s="7"/>
      <c r="AB365" s="7"/>
      <c r="AC365" s="7"/>
      <c r="AD365" s="7"/>
      <c r="AE365" s="7"/>
      <c r="AF365" s="7"/>
      <c r="AG365" s="7"/>
      <c r="AH365" s="7"/>
      <c r="AI365" s="7"/>
      <c r="AJ365" s="7"/>
      <c r="AK365" s="7"/>
      <c r="AL365" s="7"/>
      <c r="AM365" s="7"/>
      <c r="AN365" s="7"/>
      <c r="AO365" s="7"/>
      <c r="AP365" s="7"/>
      <c r="AQ365" s="7"/>
      <c r="AR365" s="7"/>
      <c r="AS365" s="7"/>
      <c r="AT365" s="7"/>
      <c r="AU365" s="7"/>
      <c r="AV365" s="7"/>
      <c r="AW365" s="7"/>
      <c r="AX365" s="7"/>
      <c r="AY365" s="7"/>
      <c r="AZ365" s="7"/>
      <c r="BA365" s="7"/>
      <c r="BB365" s="7"/>
      <c r="BC365" s="7"/>
      <c r="BD365" s="7"/>
      <c r="BE365" s="7"/>
      <c r="BF365" s="7"/>
      <c r="BG365" s="7"/>
    </row>
    <row r="366" spans="1:59">
      <c r="A366" s="7"/>
      <c r="B366" s="7"/>
      <c r="C366" s="7"/>
      <c r="D366" s="7"/>
      <c r="E366" s="7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  <c r="AA366" s="7"/>
      <c r="AB366" s="7"/>
      <c r="AC366" s="7"/>
      <c r="AD366" s="7"/>
      <c r="AE366" s="7"/>
      <c r="AF366" s="7"/>
      <c r="AG366" s="7"/>
      <c r="AH366" s="7"/>
      <c r="AI366" s="7"/>
      <c r="AJ366" s="7"/>
      <c r="AK366" s="7"/>
      <c r="AL366" s="7"/>
      <c r="AM366" s="7"/>
      <c r="AN366" s="7"/>
      <c r="AO366" s="7"/>
      <c r="AP366" s="7"/>
      <c r="AQ366" s="7"/>
      <c r="AR366" s="7"/>
      <c r="AS366" s="7"/>
      <c r="AT366" s="7"/>
      <c r="AU366" s="7"/>
      <c r="AV366" s="7"/>
      <c r="AW366" s="7"/>
      <c r="AX366" s="7"/>
      <c r="AY366" s="7"/>
      <c r="AZ366" s="7"/>
      <c r="BA366" s="7"/>
      <c r="BB366" s="7"/>
      <c r="BC366" s="7"/>
      <c r="BD366" s="7"/>
      <c r="BE366" s="7"/>
      <c r="BF366" s="7"/>
      <c r="BG366" s="7"/>
    </row>
    <row r="367" spans="1:59">
      <c r="A367" s="7"/>
      <c r="B367" s="7"/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  <c r="AA367" s="7"/>
      <c r="AB367" s="7"/>
      <c r="AC367" s="7"/>
      <c r="AD367" s="7"/>
      <c r="AE367" s="7"/>
      <c r="AF367" s="7"/>
      <c r="AG367" s="7"/>
      <c r="AH367" s="7"/>
      <c r="AI367" s="7"/>
      <c r="AJ367" s="7"/>
      <c r="AK367" s="7"/>
      <c r="AL367" s="7"/>
      <c r="AM367" s="7"/>
      <c r="AN367" s="7"/>
      <c r="AO367" s="7"/>
      <c r="AP367" s="7"/>
      <c r="AQ367" s="7"/>
      <c r="AR367" s="7"/>
      <c r="AS367" s="7"/>
      <c r="AT367" s="7"/>
      <c r="AU367" s="7"/>
      <c r="AV367" s="7"/>
      <c r="AW367" s="7"/>
      <c r="AX367" s="7"/>
      <c r="AY367" s="7"/>
      <c r="AZ367" s="7"/>
      <c r="BA367" s="7"/>
      <c r="BB367" s="7"/>
      <c r="BC367" s="7"/>
      <c r="BD367" s="7"/>
      <c r="BE367" s="7"/>
      <c r="BF367" s="7"/>
      <c r="BG367" s="7"/>
    </row>
    <row r="368" spans="1:59">
      <c r="A368" s="7"/>
      <c r="B368" s="7"/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  <c r="AA368" s="7"/>
      <c r="AB368" s="7"/>
      <c r="AC368" s="7"/>
      <c r="AD368" s="7"/>
      <c r="AE368" s="7"/>
      <c r="AF368" s="7"/>
      <c r="AG368" s="7"/>
      <c r="AH368" s="7"/>
      <c r="AI368" s="7"/>
      <c r="AJ368" s="7"/>
      <c r="AK368" s="7"/>
      <c r="AL368" s="7"/>
      <c r="AM368" s="7"/>
      <c r="AN368" s="7"/>
      <c r="AO368" s="7"/>
      <c r="AP368" s="7"/>
      <c r="AQ368" s="7"/>
      <c r="AR368" s="7"/>
      <c r="AS368" s="7"/>
      <c r="AT368" s="7"/>
      <c r="AU368" s="7"/>
      <c r="AV368" s="7"/>
      <c r="AW368" s="7"/>
      <c r="AX368" s="7"/>
      <c r="AY368" s="7"/>
      <c r="AZ368" s="7"/>
      <c r="BA368" s="7"/>
      <c r="BB368" s="7"/>
      <c r="BC368" s="7"/>
      <c r="BD368" s="7"/>
      <c r="BE368" s="7"/>
      <c r="BF368" s="7"/>
      <c r="BG368" s="7"/>
    </row>
    <row r="369" spans="1:59">
      <c r="A369" s="7"/>
      <c r="B369" s="7"/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  <c r="AA369" s="7"/>
      <c r="AB369" s="7"/>
      <c r="AC369" s="7"/>
      <c r="AD369" s="7"/>
      <c r="AE369" s="7"/>
      <c r="AF369" s="7"/>
      <c r="AG369" s="7"/>
      <c r="AH369" s="7"/>
      <c r="AI369" s="7"/>
      <c r="AJ369" s="7"/>
      <c r="AK369" s="7"/>
      <c r="AL369" s="7"/>
      <c r="AM369" s="7"/>
      <c r="AN369" s="7"/>
      <c r="AO369" s="7"/>
      <c r="AP369" s="7"/>
      <c r="AQ369" s="7"/>
      <c r="AR369" s="7"/>
      <c r="AS369" s="7"/>
      <c r="AT369" s="7"/>
      <c r="AU369" s="7"/>
      <c r="AV369" s="7"/>
      <c r="AW369" s="7"/>
      <c r="AX369" s="7"/>
      <c r="AY369" s="7"/>
      <c r="AZ369" s="7"/>
      <c r="BA369" s="7"/>
      <c r="BB369" s="7"/>
      <c r="BC369" s="7"/>
      <c r="BD369" s="7"/>
      <c r="BE369" s="7"/>
      <c r="BF369" s="7"/>
      <c r="BG369" s="7"/>
    </row>
    <row r="370" spans="1:59">
      <c r="A370" s="7"/>
      <c r="B370" s="7"/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  <c r="AA370" s="7"/>
      <c r="AB370" s="7"/>
      <c r="AC370" s="7"/>
      <c r="AD370" s="7"/>
      <c r="AE370" s="7"/>
      <c r="AF370" s="7"/>
      <c r="AG370" s="7"/>
      <c r="AH370" s="7"/>
      <c r="AI370" s="7"/>
      <c r="AJ370" s="7"/>
      <c r="AK370" s="7"/>
      <c r="AL370" s="7"/>
      <c r="AM370" s="7"/>
      <c r="AN370" s="7"/>
      <c r="AO370" s="7"/>
      <c r="AP370" s="7"/>
      <c r="AQ370" s="7"/>
      <c r="AR370" s="7"/>
      <c r="AS370" s="7"/>
      <c r="AT370" s="7"/>
      <c r="AU370" s="7"/>
      <c r="AV370" s="7"/>
      <c r="AW370" s="7"/>
      <c r="AX370" s="7"/>
      <c r="AY370" s="7"/>
      <c r="AZ370" s="7"/>
      <c r="BA370" s="7"/>
      <c r="BB370" s="7"/>
      <c r="BC370" s="7"/>
      <c r="BD370" s="7"/>
      <c r="BE370" s="7"/>
      <c r="BF370" s="7"/>
      <c r="BG370" s="7"/>
    </row>
    <row r="371" spans="1:59">
      <c r="A371" s="7"/>
      <c r="B371" s="7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  <c r="AA371" s="7"/>
      <c r="AB371" s="7"/>
      <c r="AC371" s="7"/>
      <c r="AD371" s="7"/>
      <c r="AE371" s="7"/>
      <c r="AF371" s="7"/>
      <c r="AG371" s="7"/>
      <c r="AH371" s="7"/>
      <c r="AI371" s="7"/>
      <c r="AJ371" s="7"/>
      <c r="AK371" s="7"/>
      <c r="AL371" s="7"/>
      <c r="AM371" s="7"/>
      <c r="AN371" s="7"/>
      <c r="AO371" s="7"/>
      <c r="AP371" s="7"/>
      <c r="AQ371" s="7"/>
      <c r="AR371" s="7"/>
      <c r="AS371" s="7"/>
      <c r="AT371" s="7"/>
      <c r="AU371" s="7"/>
      <c r="AV371" s="7"/>
      <c r="AW371" s="7"/>
      <c r="AX371" s="7"/>
      <c r="AY371" s="7"/>
      <c r="AZ371" s="7"/>
      <c r="BA371" s="7"/>
      <c r="BB371" s="7"/>
      <c r="BC371" s="7"/>
      <c r="BD371" s="7"/>
      <c r="BE371" s="7"/>
      <c r="BF371" s="7"/>
      <c r="BG371" s="7"/>
    </row>
    <row r="372" spans="1:59">
      <c r="A372" s="7"/>
      <c r="B372" s="7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  <c r="AA372" s="7"/>
      <c r="AB372" s="7"/>
      <c r="AC372" s="7"/>
      <c r="AD372" s="7"/>
      <c r="AE372" s="7"/>
      <c r="AF372" s="7"/>
      <c r="AG372" s="7"/>
      <c r="AH372" s="7"/>
      <c r="AI372" s="7"/>
      <c r="AJ372" s="7"/>
      <c r="AK372" s="7"/>
      <c r="AL372" s="7"/>
      <c r="AM372" s="7"/>
      <c r="AN372" s="7"/>
      <c r="AO372" s="7"/>
      <c r="AP372" s="7"/>
      <c r="AQ372" s="7"/>
      <c r="AR372" s="7"/>
      <c r="AS372" s="7"/>
      <c r="AT372" s="7"/>
      <c r="AU372" s="7"/>
      <c r="AV372" s="7"/>
      <c r="AW372" s="7"/>
      <c r="AX372" s="7"/>
      <c r="AY372" s="7"/>
      <c r="AZ372" s="7"/>
      <c r="BA372" s="7"/>
      <c r="BB372" s="7"/>
      <c r="BC372" s="7"/>
      <c r="BD372" s="7"/>
      <c r="BE372" s="7"/>
      <c r="BF372" s="7"/>
      <c r="BG372" s="7"/>
    </row>
    <row r="373" spans="1:59">
      <c r="A373" s="7"/>
      <c r="B373" s="7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  <c r="AA373" s="7"/>
      <c r="AB373" s="7"/>
      <c r="AC373" s="7"/>
      <c r="AD373" s="7"/>
      <c r="AE373" s="7"/>
      <c r="AF373" s="7"/>
      <c r="AG373" s="7"/>
      <c r="AH373" s="7"/>
      <c r="AI373" s="7"/>
      <c r="AJ373" s="7"/>
      <c r="AK373" s="7"/>
      <c r="AL373" s="7"/>
      <c r="AM373" s="7"/>
      <c r="AN373" s="7"/>
      <c r="AO373" s="7"/>
      <c r="AP373" s="7"/>
      <c r="AQ373" s="7"/>
      <c r="AR373" s="7"/>
      <c r="AS373" s="7"/>
      <c r="AT373" s="7"/>
      <c r="AU373" s="7"/>
      <c r="AV373" s="7"/>
      <c r="AW373" s="7"/>
      <c r="AX373" s="7"/>
      <c r="AY373" s="7"/>
      <c r="AZ373" s="7"/>
      <c r="BA373" s="7"/>
      <c r="BB373" s="7"/>
      <c r="BC373" s="7"/>
      <c r="BD373" s="7"/>
      <c r="BE373" s="7"/>
      <c r="BF373" s="7"/>
      <c r="BG373" s="7"/>
    </row>
    <row r="374" spans="1:59">
      <c r="A374" s="7"/>
      <c r="B374" s="7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  <c r="AA374" s="7"/>
      <c r="AB374" s="7"/>
      <c r="AC374" s="7"/>
      <c r="AD374" s="7"/>
      <c r="AE374" s="7"/>
      <c r="AF374" s="7"/>
      <c r="AG374" s="7"/>
      <c r="AH374" s="7"/>
      <c r="AI374" s="7"/>
      <c r="AJ374" s="7"/>
      <c r="AK374" s="7"/>
      <c r="AL374" s="7"/>
      <c r="AM374" s="7"/>
      <c r="AN374" s="7"/>
      <c r="AO374" s="7"/>
      <c r="AP374" s="7"/>
      <c r="AQ374" s="7"/>
      <c r="AR374" s="7"/>
      <c r="AS374" s="7"/>
      <c r="AT374" s="7"/>
      <c r="AU374" s="7"/>
      <c r="AV374" s="7"/>
      <c r="AW374" s="7"/>
      <c r="AX374" s="7"/>
      <c r="AY374" s="7"/>
      <c r="AZ374" s="7"/>
      <c r="BA374" s="7"/>
      <c r="BB374" s="7"/>
      <c r="BC374" s="7"/>
      <c r="BD374" s="7"/>
      <c r="BE374" s="7"/>
      <c r="BF374" s="7"/>
      <c r="BG374" s="7"/>
    </row>
    <row r="375" spans="1:59">
      <c r="A375" s="7"/>
      <c r="B375" s="7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  <c r="AA375" s="7"/>
      <c r="AB375" s="7"/>
      <c r="AC375" s="7"/>
      <c r="AD375" s="7"/>
      <c r="AE375" s="7"/>
      <c r="AF375" s="7"/>
      <c r="AG375" s="7"/>
      <c r="AH375" s="7"/>
      <c r="AI375" s="7"/>
      <c r="AJ375" s="7"/>
      <c r="AK375" s="7"/>
      <c r="AL375" s="7"/>
      <c r="AM375" s="7"/>
      <c r="AN375" s="7"/>
      <c r="AO375" s="7"/>
      <c r="AP375" s="7"/>
      <c r="AQ375" s="7"/>
      <c r="AR375" s="7"/>
      <c r="AS375" s="7"/>
      <c r="AT375" s="7"/>
      <c r="AU375" s="7"/>
      <c r="AV375" s="7"/>
      <c r="AW375" s="7"/>
      <c r="AX375" s="7"/>
      <c r="AY375" s="7"/>
      <c r="AZ375" s="7"/>
      <c r="BA375" s="7"/>
      <c r="BB375" s="7"/>
      <c r="BC375" s="7"/>
      <c r="BD375" s="7"/>
      <c r="BE375" s="7"/>
      <c r="BF375" s="7"/>
      <c r="BG375" s="7"/>
    </row>
    <row r="376" spans="1:59">
      <c r="A376" s="7"/>
      <c r="B376" s="7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  <c r="AA376" s="7"/>
      <c r="AB376" s="7"/>
      <c r="AC376" s="7"/>
      <c r="AD376" s="7"/>
      <c r="AE376" s="7"/>
      <c r="AF376" s="7"/>
      <c r="AG376" s="7"/>
      <c r="AH376" s="7"/>
      <c r="AI376" s="7"/>
      <c r="AJ376" s="7"/>
      <c r="AK376" s="7"/>
      <c r="AL376" s="7"/>
      <c r="AM376" s="7"/>
      <c r="AN376" s="7"/>
      <c r="AO376" s="7"/>
      <c r="AP376" s="7"/>
      <c r="AQ376" s="7"/>
      <c r="AR376" s="7"/>
      <c r="AS376" s="7"/>
      <c r="AT376" s="7"/>
      <c r="AU376" s="7"/>
      <c r="AV376" s="7"/>
      <c r="AW376" s="7"/>
      <c r="AX376" s="7"/>
      <c r="AY376" s="7"/>
      <c r="AZ376" s="7"/>
      <c r="BA376" s="7"/>
      <c r="BB376" s="7"/>
      <c r="BC376" s="7"/>
      <c r="BD376" s="7"/>
      <c r="BE376" s="7"/>
      <c r="BF376" s="7"/>
      <c r="BG376" s="7"/>
    </row>
    <row r="377" spans="1:59">
      <c r="A377" s="7"/>
      <c r="B377" s="7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  <c r="AA377" s="7"/>
      <c r="AB377" s="7"/>
      <c r="AC377" s="7"/>
      <c r="AD377" s="7"/>
      <c r="AE377" s="7"/>
      <c r="AF377" s="7"/>
      <c r="AG377" s="7"/>
      <c r="AH377" s="7"/>
      <c r="AI377" s="7"/>
      <c r="AJ377" s="7"/>
      <c r="AK377" s="7"/>
      <c r="AL377" s="7"/>
      <c r="AM377" s="7"/>
      <c r="AN377" s="7"/>
      <c r="AO377" s="7"/>
      <c r="AP377" s="7"/>
      <c r="AQ377" s="7"/>
      <c r="AR377" s="7"/>
      <c r="AS377" s="7"/>
      <c r="AT377" s="7"/>
      <c r="AU377" s="7"/>
      <c r="AV377" s="7"/>
      <c r="AW377" s="7"/>
      <c r="AX377" s="7"/>
      <c r="AY377" s="7"/>
      <c r="AZ377" s="7"/>
      <c r="BA377" s="7"/>
      <c r="BB377" s="7"/>
      <c r="BC377" s="7"/>
      <c r="BD377" s="7"/>
      <c r="BE377" s="7"/>
      <c r="BF377" s="7"/>
      <c r="BG377" s="7"/>
    </row>
    <row r="378" spans="1:59">
      <c r="A378" s="7"/>
      <c r="B378" s="7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  <c r="AA378" s="7"/>
      <c r="AB378" s="7"/>
      <c r="AC378" s="7"/>
      <c r="AD378" s="7"/>
      <c r="AE378" s="7"/>
      <c r="AF378" s="7"/>
      <c r="AG378" s="7"/>
      <c r="AH378" s="7"/>
      <c r="AI378" s="7"/>
      <c r="AJ378" s="7"/>
      <c r="AK378" s="7"/>
      <c r="AL378" s="7"/>
      <c r="AM378" s="7"/>
      <c r="AN378" s="7"/>
      <c r="AO378" s="7"/>
      <c r="AP378" s="7"/>
      <c r="AQ378" s="7"/>
      <c r="AR378" s="7"/>
      <c r="AS378" s="7"/>
      <c r="AT378" s="7"/>
      <c r="AU378" s="7"/>
      <c r="AV378" s="7"/>
      <c r="AW378" s="7"/>
      <c r="AX378" s="7"/>
      <c r="AY378" s="7"/>
      <c r="AZ378" s="7"/>
      <c r="BA378" s="7"/>
      <c r="BB378" s="7"/>
      <c r="BC378" s="7"/>
      <c r="BD378" s="7"/>
      <c r="BE378" s="7"/>
      <c r="BF378" s="7"/>
      <c r="BG378" s="7"/>
    </row>
    <row r="379" spans="1:59">
      <c r="A379" s="7"/>
      <c r="B379" s="7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  <c r="AA379" s="7"/>
      <c r="AB379" s="7"/>
      <c r="AC379" s="7"/>
      <c r="AD379" s="7"/>
      <c r="AE379" s="7"/>
      <c r="AF379" s="7"/>
      <c r="AG379" s="7"/>
      <c r="AH379" s="7"/>
      <c r="AI379" s="7"/>
      <c r="AJ379" s="7"/>
      <c r="AK379" s="7"/>
      <c r="AL379" s="7"/>
      <c r="AM379" s="7"/>
      <c r="AN379" s="7"/>
      <c r="AO379" s="7"/>
      <c r="AP379" s="7"/>
      <c r="AQ379" s="7"/>
      <c r="AR379" s="7"/>
      <c r="AS379" s="7"/>
      <c r="AT379" s="7"/>
      <c r="AU379" s="7"/>
      <c r="AV379" s="7"/>
      <c r="AW379" s="7"/>
      <c r="AX379" s="7"/>
      <c r="AY379" s="7"/>
      <c r="AZ379" s="7"/>
      <c r="BA379" s="7"/>
      <c r="BB379" s="7"/>
      <c r="BC379" s="7"/>
      <c r="BD379" s="7"/>
      <c r="BE379" s="7"/>
      <c r="BF379" s="7"/>
      <c r="BG379" s="7"/>
    </row>
    <row r="380" spans="1:59">
      <c r="A380" s="7"/>
      <c r="B380" s="7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  <c r="AA380" s="7"/>
      <c r="AB380" s="7"/>
      <c r="AC380" s="7"/>
      <c r="AD380" s="7"/>
      <c r="AE380" s="7"/>
      <c r="AF380" s="7"/>
      <c r="AG380" s="7"/>
      <c r="AH380" s="7"/>
      <c r="AI380" s="7"/>
      <c r="AJ380" s="7"/>
      <c r="AK380" s="7"/>
      <c r="AL380" s="7"/>
      <c r="AM380" s="7"/>
      <c r="AN380" s="7"/>
      <c r="AO380" s="7"/>
      <c r="AP380" s="7"/>
      <c r="AQ380" s="7"/>
      <c r="AR380" s="7"/>
      <c r="AS380" s="7"/>
      <c r="AT380" s="7"/>
      <c r="AU380" s="7"/>
      <c r="AV380" s="7"/>
      <c r="AW380" s="7"/>
      <c r="AX380" s="7"/>
      <c r="AY380" s="7"/>
      <c r="AZ380" s="7"/>
      <c r="BA380" s="7"/>
      <c r="BB380" s="7"/>
      <c r="BC380" s="7"/>
      <c r="BD380" s="7"/>
      <c r="BE380" s="7"/>
      <c r="BF380" s="7"/>
      <c r="BG380" s="7"/>
    </row>
    <row r="381" spans="1:59">
      <c r="A381" s="7"/>
      <c r="B381" s="7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  <c r="AA381" s="7"/>
      <c r="AB381" s="7"/>
      <c r="AC381" s="7"/>
      <c r="AD381" s="7"/>
      <c r="AE381" s="7"/>
      <c r="AF381" s="7"/>
      <c r="AG381" s="7"/>
      <c r="AH381" s="7"/>
      <c r="AI381" s="7"/>
      <c r="AJ381" s="7"/>
      <c r="AK381" s="7"/>
      <c r="AL381" s="7"/>
      <c r="AM381" s="7"/>
      <c r="AN381" s="7"/>
      <c r="AO381" s="7"/>
      <c r="AP381" s="7"/>
      <c r="AQ381" s="7"/>
      <c r="AR381" s="7"/>
      <c r="AS381" s="7"/>
      <c r="AT381" s="7"/>
      <c r="AU381" s="7"/>
      <c r="AV381" s="7"/>
      <c r="AW381" s="7"/>
      <c r="AX381" s="7"/>
      <c r="AY381" s="7"/>
      <c r="AZ381" s="7"/>
      <c r="BA381" s="7"/>
      <c r="BB381" s="7"/>
      <c r="BC381" s="7"/>
      <c r="BD381" s="7"/>
      <c r="BE381" s="7"/>
      <c r="BF381" s="7"/>
      <c r="BG381" s="7"/>
    </row>
    <row r="382" spans="1:59">
      <c r="A382" s="7"/>
      <c r="B382" s="7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  <c r="AA382" s="7"/>
      <c r="AB382" s="7"/>
      <c r="AC382" s="7"/>
      <c r="AD382" s="7"/>
      <c r="AE382" s="7"/>
      <c r="AF382" s="7"/>
      <c r="AG382" s="7"/>
      <c r="AH382" s="7"/>
      <c r="AI382" s="7"/>
      <c r="AJ382" s="7"/>
      <c r="AK382" s="7"/>
      <c r="AL382" s="7"/>
      <c r="AM382" s="7"/>
      <c r="AN382" s="7"/>
      <c r="AO382" s="7"/>
      <c r="AP382" s="7"/>
      <c r="AQ382" s="7"/>
      <c r="AR382" s="7"/>
      <c r="AS382" s="7"/>
      <c r="AT382" s="7"/>
      <c r="AU382" s="7"/>
      <c r="AV382" s="7"/>
      <c r="AW382" s="7"/>
      <c r="AX382" s="7"/>
      <c r="AY382" s="7"/>
      <c r="AZ382" s="7"/>
      <c r="BA382" s="7"/>
      <c r="BB382" s="7"/>
      <c r="BC382" s="7"/>
      <c r="BD382" s="7"/>
      <c r="BE382" s="7"/>
      <c r="BF382" s="7"/>
      <c r="BG382" s="7"/>
    </row>
    <row r="383" spans="1:59">
      <c r="A383" s="7"/>
      <c r="B383" s="7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  <c r="AA383" s="7"/>
      <c r="AB383" s="7"/>
      <c r="AC383" s="7"/>
      <c r="AD383" s="7"/>
      <c r="AE383" s="7"/>
      <c r="AF383" s="7"/>
      <c r="AG383" s="7"/>
      <c r="AH383" s="7"/>
      <c r="AI383" s="7"/>
      <c r="AJ383" s="7"/>
      <c r="AK383" s="7"/>
      <c r="AL383" s="7"/>
      <c r="AM383" s="7"/>
      <c r="AN383" s="7"/>
      <c r="AO383" s="7"/>
      <c r="AP383" s="7"/>
      <c r="AQ383" s="7"/>
      <c r="AR383" s="7"/>
      <c r="AS383" s="7"/>
      <c r="AT383" s="7"/>
      <c r="AU383" s="7"/>
      <c r="AV383" s="7"/>
      <c r="AW383" s="7"/>
      <c r="AX383" s="7"/>
      <c r="AY383" s="7"/>
      <c r="AZ383" s="7"/>
      <c r="BA383" s="7"/>
      <c r="BB383" s="7"/>
      <c r="BC383" s="7"/>
      <c r="BD383" s="7"/>
      <c r="BE383" s="7"/>
      <c r="BF383" s="7"/>
      <c r="BG383" s="7"/>
    </row>
    <row r="384" spans="1:59">
      <c r="A384" s="7"/>
      <c r="B384" s="7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  <c r="AA384" s="7"/>
      <c r="AB384" s="7"/>
      <c r="AC384" s="7"/>
      <c r="AD384" s="7"/>
      <c r="AE384" s="7"/>
      <c r="AF384" s="7"/>
      <c r="AG384" s="7"/>
      <c r="AH384" s="7"/>
      <c r="AI384" s="7"/>
      <c r="AJ384" s="7"/>
      <c r="AK384" s="7"/>
      <c r="AL384" s="7"/>
      <c r="AM384" s="7"/>
      <c r="AN384" s="7"/>
      <c r="AO384" s="7"/>
      <c r="AP384" s="7"/>
      <c r="AQ384" s="7"/>
      <c r="AR384" s="7"/>
      <c r="AS384" s="7"/>
      <c r="AT384" s="7"/>
      <c r="AU384" s="7"/>
      <c r="AV384" s="7"/>
      <c r="AW384" s="7"/>
      <c r="AX384" s="7"/>
      <c r="AY384" s="7"/>
      <c r="AZ384" s="7"/>
      <c r="BA384" s="7"/>
      <c r="BB384" s="7"/>
      <c r="BC384" s="7"/>
      <c r="BD384" s="7"/>
      <c r="BE384" s="7"/>
      <c r="BF384" s="7"/>
      <c r="BG384" s="7"/>
    </row>
    <row r="385" spans="1:59">
      <c r="A385" s="7"/>
      <c r="B385" s="7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  <c r="AA385" s="7"/>
      <c r="AB385" s="7"/>
      <c r="AC385" s="7"/>
      <c r="AD385" s="7"/>
      <c r="AE385" s="7"/>
      <c r="AF385" s="7"/>
      <c r="AG385" s="7"/>
      <c r="AH385" s="7"/>
      <c r="AI385" s="7"/>
      <c r="AJ385" s="7"/>
      <c r="AK385" s="7"/>
      <c r="AL385" s="7"/>
      <c r="AM385" s="7"/>
      <c r="AN385" s="7"/>
      <c r="AO385" s="7"/>
      <c r="AP385" s="7"/>
      <c r="AQ385" s="7"/>
      <c r="AR385" s="7"/>
      <c r="AS385" s="7"/>
      <c r="AT385" s="7"/>
      <c r="AU385" s="7"/>
      <c r="AV385" s="7"/>
      <c r="AW385" s="7"/>
      <c r="AX385" s="7"/>
      <c r="AY385" s="7"/>
      <c r="AZ385" s="7"/>
      <c r="BA385" s="7"/>
      <c r="BB385" s="7"/>
      <c r="BC385" s="7"/>
      <c r="BD385" s="7"/>
      <c r="BE385" s="7"/>
      <c r="BF385" s="7"/>
      <c r="BG385" s="7"/>
    </row>
    <row r="386" spans="1:59">
      <c r="A386" s="7"/>
      <c r="B386" s="7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  <c r="AA386" s="7"/>
      <c r="AB386" s="7"/>
      <c r="AC386" s="7"/>
      <c r="AD386" s="7"/>
      <c r="AE386" s="7"/>
      <c r="AF386" s="7"/>
      <c r="AG386" s="7"/>
      <c r="AH386" s="7"/>
      <c r="AI386" s="7"/>
      <c r="AJ386" s="7"/>
      <c r="AK386" s="7"/>
      <c r="AL386" s="7"/>
      <c r="AM386" s="7"/>
      <c r="AN386" s="7"/>
      <c r="AO386" s="7"/>
      <c r="AP386" s="7"/>
      <c r="AQ386" s="7"/>
      <c r="AR386" s="7"/>
      <c r="AS386" s="7"/>
      <c r="AT386" s="7"/>
      <c r="AU386" s="7"/>
      <c r="AV386" s="7"/>
      <c r="AW386" s="7"/>
      <c r="AX386" s="7"/>
      <c r="AY386" s="7"/>
      <c r="AZ386" s="7"/>
      <c r="BA386" s="7"/>
      <c r="BB386" s="7"/>
      <c r="BC386" s="7"/>
      <c r="BD386" s="7"/>
      <c r="BE386" s="7"/>
      <c r="BF386" s="7"/>
      <c r="BG386" s="7"/>
    </row>
    <row r="387" spans="1:59">
      <c r="A387" s="7"/>
      <c r="B387" s="7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  <c r="AA387" s="7"/>
      <c r="AB387" s="7"/>
      <c r="AC387" s="7"/>
      <c r="AD387" s="7"/>
      <c r="AE387" s="7"/>
      <c r="AF387" s="7"/>
      <c r="AG387" s="7"/>
      <c r="AH387" s="7"/>
      <c r="AI387" s="7"/>
      <c r="AJ387" s="7"/>
      <c r="AK387" s="7"/>
      <c r="AL387" s="7"/>
      <c r="AM387" s="7"/>
      <c r="AN387" s="7"/>
      <c r="AO387" s="7"/>
      <c r="AP387" s="7"/>
      <c r="AQ387" s="7"/>
      <c r="AR387" s="7"/>
      <c r="AS387" s="7"/>
      <c r="AT387" s="7"/>
      <c r="AU387" s="7"/>
      <c r="AV387" s="7"/>
      <c r="AW387" s="7"/>
      <c r="AX387" s="7"/>
      <c r="AY387" s="7"/>
      <c r="AZ387" s="7"/>
      <c r="BA387" s="7"/>
      <c r="BB387" s="7"/>
      <c r="BC387" s="7"/>
      <c r="BD387" s="7"/>
      <c r="BE387" s="7"/>
      <c r="BF387" s="7"/>
      <c r="BG387" s="7"/>
    </row>
    <row r="388" spans="1:59">
      <c r="A388" s="7"/>
      <c r="B388" s="7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  <c r="AA388" s="7"/>
      <c r="AB388" s="7"/>
      <c r="AC388" s="7"/>
      <c r="AD388" s="7"/>
      <c r="AE388" s="7"/>
      <c r="AF388" s="7"/>
      <c r="AG388" s="7"/>
      <c r="AH388" s="7"/>
      <c r="AI388" s="7"/>
      <c r="AJ388" s="7"/>
      <c r="AK388" s="7"/>
      <c r="AL388" s="7"/>
      <c r="AM388" s="7"/>
      <c r="AN388" s="7"/>
      <c r="AO388" s="7"/>
      <c r="AP388" s="7"/>
      <c r="AQ388" s="7"/>
      <c r="AR388" s="7"/>
      <c r="AS388" s="7"/>
      <c r="AT388" s="7"/>
      <c r="AU388" s="7"/>
      <c r="AV388" s="7"/>
      <c r="AW388" s="7"/>
      <c r="AX388" s="7"/>
      <c r="AY388" s="7"/>
      <c r="AZ388" s="7"/>
      <c r="BA388" s="7"/>
      <c r="BB388" s="7"/>
      <c r="BC388" s="7"/>
      <c r="BD388" s="7"/>
      <c r="BE388" s="7"/>
      <c r="BF388" s="7"/>
      <c r="BG388" s="7"/>
    </row>
    <row r="389" spans="1:59">
      <c r="A389" s="7"/>
      <c r="B389" s="7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  <c r="AA389" s="7"/>
      <c r="AB389" s="7"/>
      <c r="AC389" s="7"/>
      <c r="AD389" s="7"/>
      <c r="AE389" s="7"/>
      <c r="AF389" s="7"/>
      <c r="AG389" s="7"/>
      <c r="AH389" s="7"/>
      <c r="AI389" s="7"/>
      <c r="AJ389" s="7"/>
      <c r="AK389" s="7"/>
      <c r="AL389" s="7"/>
      <c r="AM389" s="7"/>
      <c r="AN389" s="7"/>
      <c r="AO389" s="7"/>
      <c r="AP389" s="7"/>
      <c r="AQ389" s="7"/>
      <c r="AR389" s="7"/>
      <c r="AS389" s="7"/>
      <c r="AT389" s="7"/>
      <c r="AU389" s="7"/>
      <c r="AV389" s="7"/>
      <c r="AW389" s="7"/>
      <c r="AX389" s="7"/>
      <c r="AY389" s="7"/>
      <c r="AZ389" s="7"/>
      <c r="BA389" s="7"/>
      <c r="BB389" s="7"/>
      <c r="BC389" s="7"/>
      <c r="BD389" s="7"/>
      <c r="BE389" s="7"/>
      <c r="BF389" s="7"/>
      <c r="BG389" s="7"/>
    </row>
    <row r="390" spans="1:59">
      <c r="A390" s="7"/>
      <c r="B390" s="7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  <c r="AA390" s="7"/>
      <c r="AB390" s="7"/>
      <c r="AC390" s="7"/>
      <c r="AD390" s="7"/>
      <c r="AE390" s="7"/>
      <c r="AF390" s="7"/>
      <c r="AG390" s="7"/>
      <c r="AH390" s="7"/>
      <c r="AI390" s="7"/>
      <c r="AJ390" s="7"/>
      <c r="AK390" s="7"/>
      <c r="AL390" s="7"/>
      <c r="AM390" s="7"/>
      <c r="AN390" s="7"/>
      <c r="AO390" s="7"/>
      <c r="AP390" s="7"/>
      <c r="AQ390" s="7"/>
      <c r="AR390" s="7"/>
      <c r="AS390" s="7"/>
      <c r="AT390" s="7"/>
      <c r="AU390" s="7"/>
      <c r="AV390" s="7"/>
      <c r="AW390" s="7"/>
      <c r="AX390" s="7"/>
      <c r="AY390" s="7"/>
      <c r="AZ390" s="7"/>
      <c r="BA390" s="7"/>
      <c r="BB390" s="7"/>
      <c r="BC390" s="7"/>
      <c r="BD390" s="7"/>
      <c r="BE390" s="7"/>
      <c r="BF390" s="7"/>
      <c r="BG390" s="7"/>
    </row>
    <row r="391" spans="1:59">
      <c r="A391" s="7"/>
      <c r="B391" s="7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  <c r="AA391" s="7"/>
      <c r="AB391" s="7"/>
      <c r="AC391" s="7"/>
      <c r="AD391" s="7"/>
      <c r="AE391" s="7"/>
      <c r="AF391" s="7"/>
      <c r="AG391" s="7"/>
      <c r="AH391" s="7"/>
      <c r="AI391" s="7"/>
      <c r="AJ391" s="7"/>
      <c r="AK391" s="7"/>
      <c r="AL391" s="7"/>
      <c r="AM391" s="7"/>
      <c r="AN391" s="7"/>
      <c r="AO391" s="7"/>
      <c r="AP391" s="7"/>
      <c r="AQ391" s="7"/>
      <c r="AR391" s="7"/>
      <c r="AS391" s="7"/>
      <c r="AT391" s="7"/>
      <c r="AU391" s="7"/>
      <c r="AV391" s="7"/>
      <c r="AW391" s="7"/>
      <c r="AX391" s="7"/>
      <c r="AY391" s="7"/>
      <c r="AZ391" s="7"/>
      <c r="BA391" s="7"/>
      <c r="BB391" s="7"/>
      <c r="BC391" s="7"/>
      <c r="BD391" s="7"/>
      <c r="BE391" s="7"/>
      <c r="BF391" s="7"/>
      <c r="BG391" s="7"/>
    </row>
    <row r="392" spans="1:59">
      <c r="A392" s="7"/>
      <c r="B392" s="7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  <c r="AA392" s="7"/>
      <c r="AB392" s="7"/>
      <c r="AC392" s="7"/>
      <c r="AD392" s="7"/>
      <c r="AE392" s="7"/>
      <c r="AF392" s="7"/>
      <c r="AG392" s="7"/>
      <c r="AH392" s="7"/>
      <c r="AI392" s="7"/>
      <c r="AJ392" s="7"/>
      <c r="AK392" s="7"/>
      <c r="AL392" s="7"/>
      <c r="AM392" s="7"/>
      <c r="AN392" s="7"/>
      <c r="AO392" s="7"/>
      <c r="AP392" s="7"/>
      <c r="AQ392" s="7"/>
      <c r="AR392" s="7"/>
      <c r="AS392" s="7"/>
      <c r="AT392" s="7"/>
      <c r="AU392" s="7"/>
      <c r="AV392" s="7"/>
      <c r="AW392" s="7"/>
      <c r="AX392" s="7"/>
      <c r="AY392" s="7"/>
      <c r="AZ392" s="7"/>
      <c r="BA392" s="7"/>
      <c r="BB392" s="7"/>
      <c r="BC392" s="7"/>
      <c r="BD392" s="7"/>
      <c r="BE392" s="7"/>
      <c r="BF392" s="7"/>
      <c r="BG392" s="7"/>
    </row>
    <row r="393" spans="1:59">
      <c r="A393" s="7"/>
      <c r="B393" s="7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  <c r="AA393" s="7"/>
      <c r="AB393" s="7"/>
      <c r="AC393" s="7"/>
      <c r="AD393" s="7"/>
      <c r="AE393" s="7"/>
      <c r="AF393" s="7"/>
      <c r="AG393" s="7"/>
      <c r="AH393" s="7"/>
      <c r="AI393" s="7"/>
      <c r="AJ393" s="7"/>
      <c r="AK393" s="7"/>
      <c r="AL393" s="7"/>
      <c r="AM393" s="7"/>
      <c r="AN393" s="7"/>
      <c r="AO393" s="7"/>
      <c r="AP393" s="7"/>
      <c r="AQ393" s="7"/>
      <c r="AR393" s="7"/>
      <c r="AS393" s="7"/>
      <c r="AT393" s="7"/>
      <c r="AU393" s="7"/>
      <c r="AV393" s="7"/>
      <c r="AW393" s="7"/>
      <c r="AX393" s="7"/>
      <c r="AY393" s="7"/>
      <c r="AZ393" s="7"/>
      <c r="BA393" s="7"/>
      <c r="BB393" s="7"/>
      <c r="BC393" s="7"/>
      <c r="BD393" s="7"/>
      <c r="BE393" s="7"/>
      <c r="BF393" s="7"/>
      <c r="BG393" s="7"/>
    </row>
    <row r="394" spans="1:59">
      <c r="A394" s="7"/>
      <c r="B394" s="7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  <c r="AA394" s="7"/>
      <c r="AB394" s="7"/>
      <c r="AC394" s="7"/>
      <c r="AD394" s="7"/>
      <c r="AE394" s="7"/>
      <c r="AF394" s="7"/>
      <c r="AG394" s="7"/>
      <c r="AH394" s="7"/>
      <c r="AI394" s="7"/>
      <c r="AJ394" s="7"/>
      <c r="AK394" s="7"/>
      <c r="AL394" s="7"/>
      <c r="AM394" s="7"/>
      <c r="AN394" s="7"/>
      <c r="AO394" s="7"/>
      <c r="AP394" s="7"/>
      <c r="AQ394" s="7"/>
      <c r="AR394" s="7"/>
      <c r="AS394" s="7"/>
      <c r="AT394" s="7"/>
      <c r="AU394" s="7"/>
      <c r="AV394" s="7"/>
      <c r="AW394" s="7"/>
      <c r="AX394" s="7"/>
      <c r="AY394" s="7"/>
      <c r="AZ394" s="7"/>
      <c r="BA394" s="7"/>
      <c r="BB394" s="7"/>
      <c r="BC394" s="7"/>
      <c r="BD394" s="7"/>
      <c r="BE394" s="7"/>
      <c r="BF394" s="7"/>
      <c r="BG394" s="7"/>
    </row>
    <row r="395" spans="1:59">
      <c r="A395" s="7"/>
      <c r="B395" s="7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  <c r="AA395" s="7"/>
      <c r="AB395" s="7"/>
      <c r="AC395" s="7"/>
      <c r="AD395" s="7"/>
      <c r="AE395" s="7"/>
      <c r="AF395" s="7"/>
      <c r="AG395" s="7"/>
      <c r="AH395" s="7"/>
      <c r="AI395" s="7"/>
      <c r="AJ395" s="7"/>
      <c r="AK395" s="7"/>
      <c r="AL395" s="7"/>
      <c r="AM395" s="7"/>
      <c r="AN395" s="7"/>
      <c r="AO395" s="7"/>
      <c r="AP395" s="7"/>
      <c r="AQ395" s="7"/>
      <c r="AR395" s="7"/>
      <c r="AS395" s="7"/>
      <c r="AT395" s="7"/>
      <c r="AU395" s="7"/>
      <c r="AV395" s="7"/>
      <c r="AW395" s="7"/>
      <c r="AX395" s="7"/>
      <c r="AY395" s="7"/>
      <c r="AZ395" s="7"/>
      <c r="BA395" s="7"/>
      <c r="BB395" s="7"/>
      <c r="BC395" s="7"/>
      <c r="BD395" s="7"/>
      <c r="BE395" s="7"/>
      <c r="BF395" s="7"/>
      <c r="BG395" s="7"/>
    </row>
    <row r="396" spans="1:59">
      <c r="A396" s="7"/>
      <c r="B396" s="7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  <c r="AA396" s="7"/>
      <c r="AB396" s="7"/>
      <c r="AC396" s="7"/>
      <c r="AD396" s="7"/>
      <c r="AE396" s="7"/>
      <c r="AF396" s="7"/>
      <c r="AG396" s="7"/>
      <c r="AH396" s="7"/>
      <c r="AI396" s="7"/>
      <c r="AJ396" s="7"/>
      <c r="AK396" s="7"/>
      <c r="AL396" s="7"/>
      <c r="AM396" s="7"/>
      <c r="AN396" s="7"/>
      <c r="AO396" s="7"/>
      <c r="AP396" s="7"/>
      <c r="AQ396" s="7"/>
      <c r="AR396" s="7"/>
      <c r="AS396" s="7"/>
      <c r="AT396" s="7"/>
      <c r="AU396" s="7"/>
      <c r="AV396" s="7"/>
      <c r="AW396" s="7"/>
      <c r="AX396" s="7"/>
      <c r="AY396" s="7"/>
      <c r="AZ396" s="7"/>
      <c r="BA396" s="7"/>
      <c r="BB396" s="7"/>
      <c r="BC396" s="7"/>
      <c r="BD396" s="7"/>
      <c r="BE396" s="7"/>
      <c r="BF396" s="7"/>
      <c r="BG396" s="7"/>
    </row>
    <row r="397" spans="1:59">
      <c r="A397" s="7"/>
      <c r="B397" s="7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  <c r="AA397" s="7"/>
      <c r="AB397" s="7"/>
      <c r="AC397" s="7"/>
      <c r="AD397" s="7"/>
      <c r="AE397" s="7"/>
      <c r="AF397" s="7"/>
      <c r="AG397" s="7"/>
      <c r="AH397" s="7"/>
      <c r="AI397" s="7"/>
      <c r="AJ397" s="7"/>
      <c r="AK397" s="7"/>
      <c r="AL397" s="7"/>
      <c r="AM397" s="7"/>
      <c r="AN397" s="7"/>
      <c r="AO397" s="7"/>
      <c r="AP397" s="7"/>
      <c r="AQ397" s="7"/>
      <c r="AR397" s="7"/>
      <c r="AS397" s="7"/>
      <c r="AT397" s="7"/>
      <c r="AU397" s="7"/>
      <c r="AV397" s="7"/>
      <c r="AW397" s="7"/>
      <c r="AX397" s="7"/>
      <c r="AY397" s="7"/>
      <c r="AZ397" s="7"/>
      <c r="BA397" s="7"/>
      <c r="BB397" s="7"/>
      <c r="BC397" s="7"/>
      <c r="BD397" s="7"/>
      <c r="BE397" s="7"/>
      <c r="BF397" s="7"/>
      <c r="BG397" s="7"/>
    </row>
    <row r="398" spans="1:59">
      <c r="A398" s="7"/>
      <c r="B398" s="7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  <c r="AA398" s="7"/>
      <c r="AB398" s="7"/>
      <c r="AC398" s="7"/>
      <c r="AD398" s="7"/>
      <c r="AE398" s="7"/>
      <c r="AF398" s="7"/>
      <c r="AG398" s="7"/>
      <c r="AH398" s="7"/>
      <c r="AI398" s="7"/>
      <c r="AJ398" s="7"/>
      <c r="AK398" s="7"/>
      <c r="AL398" s="7"/>
      <c r="AM398" s="7"/>
      <c r="AN398" s="7"/>
      <c r="AO398" s="7"/>
      <c r="AP398" s="7"/>
      <c r="AQ398" s="7"/>
      <c r="AR398" s="7"/>
      <c r="AS398" s="7"/>
      <c r="AT398" s="7"/>
      <c r="AU398" s="7"/>
      <c r="AV398" s="7"/>
      <c r="AW398" s="7"/>
      <c r="AX398" s="7"/>
      <c r="AY398" s="7"/>
      <c r="AZ398" s="7"/>
      <c r="BA398" s="7"/>
      <c r="BB398" s="7"/>
      <c r="BC398" s="7"/>
      <c r="BD398" s="7"/>
      <c r="BE398" s="7"/>
      <c r="BF398" s="7"/>
      <c r="BG398" s="7"/>
    </row>
    <row r="399" spans="1:59">
      <c r="A399" s="7"/>
      <c r="B399" s="7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  <c r="AA399" s="7"/>
      <c r="AB399" s="7"/>
      <c r="AC399" s="7"/>
      <c r="AD399" s="7"/>
      <c r="AE399" s="7"/>
      <c r="AF399" s="7"/>
      <c r="AG399" s="7"/>
      <c r="AH399" s="7"/>
      <c r="AI399" s="7"/>
      <c r="AJ399" s="7"/>
      <c r="AK399" s="7"/>
      <c r="AL399" s="7"/>
      <c r="AM399" s="7"/>
      <c r="AN399" s="7"/>
      <c r="AO399" s="7"/>
      <c r="AP399" s="7"/>
      <c r="AQ399" s="7"/>
      <c r="AR399" s="7"/>
      <c r="AS399" s="7"/>
      <c r="AT399" s="7"/>
      <c r="AU399" s="7"/>
      <c r="AV399" s="7"/>
      <c r="AW399" s="7"/>
      <c r="AX399" s="7"/>
      <c r="AY399" s="7"/>
      <c r="AZ399" s="7"/>
      <c r="BA399" s="7"/>
      <c r="BB399" s="7"/>
      <c r="BC399" s="7"/>
      <c r="BD399" s="7"/>
      <c r="BE399" s="7"/>
      <c r="BF399" s="7"/>
      <c r="BG399" s="7"/>
    </row>
    <row r="400" spans="1:59">
      <c r="A400" s="7"/>
      <c r="B400" s="7"/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  <c r="AA400" s="7"/>
      <c r="AB400" s="7"/>
      <c r="AC400" s="7"/>
      <c r="AD400" s="7"/>
      <c r="AE400" s="7"/>
      <c r="AF400" s="7"/>
      <c r="AG400" s="7"/>
      <c r="AH400" s="7"/>
      <c r="AI400" s="7"/>
      <c r="AJ400" s="7"/>
      <c r="AK400" s="7"/>
      <c r="AL400" s="7"/>
      <c r="AM400" s="7"/>
      <c r="AN400" s="7"/>
      <c r="AO400" s="7"/>
      <c r="AP400" s="7"/>
      <c r="AQ400" s="7"/>
      <c r="AR400" s="7"/>
      <c r="AS400" s="7"/>
      <c r="AT400" s="7"/>
      <c r="AU400" s="7"/>
      <c r="AV400" s="7"/>
      <c r="AW400" s="7"/>
      <c r="AX400" s="7"/>
      <c r="AY400" s="7"/>
      <c r="AZ400" s="7"/>
      <c r="BA400" s="7"/>
      <c r="BB400" s="7"/>
      <c r="BC400" s="7"/>
      <c r="BD400" s="7"/>
      <c r="BE400" s="7"/>
      <c r="BF400" s="7"/>
      <c r="BG400" s="7"/>
    </row>
    <row r="401" spans="1:59">
      <c r="A401" s="7"/>
      <c r="B401" s="7"/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  <c r="AA401" s="7"/>
      <c r="AB401" s="7"/>
      <c r="AC401" s="7"/>
      <c r="AD401" s="7"/>
      <c r="AE401" s="7"/>
      <c r="AF401" s="7"/>
      <c r="AG401" s="7"/>
      <c r="AH401" s="7"/>
      <c r="AI401" s="7"/>
      <c r="AJ401" s="7"/>
      <c r="AK401" s="7"/>
      <c r="AL401" s="7"/>
      <c r="AM401" s="7"/>
      <c r="AN401" s="7"/>
      <c r="AO401" s="7"/>
      <c r="AP401" s="7"/>
      <c r="AQ401" s="7"/>
      <c r="AR401" s="7"/>
      <c r="AS401" s="7"/>
      <c r="AT401" s="7"/>
      <c r="AU401" s="7"/>
      <c r="AV401" s="7"/>
      <c r="AW401" s="7"/>
      <c r="AX401" s="7"/>
      <c r="AY401" s="7"/>
      <c r="AZ401" s="7"/>
      <c r="BA401" s="7"/>
      <c r="BB401" s="7"/>
      <c r="BC401" s="7"/>
      <c r="BD401" s="7"/>
      <c r="BE401" s="7"/>
      <c r="BF401" s="7"/>
      <c r="BG401" s="7"/>
    </row>
    <row r="402" spans="1:59">
      <c r="A402" s="7"/>
      <c r="B402" s="7"/>
      <c r="C402" s="7"/>
      <c r="D402" s="7"/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  <c r="AA402" s="7"/>
      <c r="AB402" s="7"/>
      <c r="AC402" s="7"/>
      <c r="AD402" s="7"/>
      <c r="AE402" s="7"/>
      <c r="AF402" s="7"/>
      <c r="AG402" s="7"/>
      <c r="AH402" s="7"/>
      <c r="AI402" s="7"/>
      <c r="AJ402" s="7"/>
      <c r="AK402" s="7"/>
      <c r="AL402" s="7"/>
      <c r="AM402" s="7"/>
      <c r="AN402" s="7"/>
      <c r="AO402" s="7"/>
      <c r="AP402" s="7"/>
      <c r="AQ402" s="7"/>
      <c r="AR402" s="7"/>
      <c r="AS402" s="7"/>
      <c r="AT402" s="7"/>
      <c r="AU402" s="7"/>
      <c r="AV402" s="7"/>
      <c r="AW402" s="7"/>
      <c r="AX402" s="7"/>
      <c r="AY402" s="7"/>
      <c r="AZ402" s="7"/>
      <c r="BA402" s="7"/>
      <c r="BB402" s="7"/>
      <c r="BC402" s="7"/>
      <c r="BD402" s="7"/>
      <c r="BE402" s="7"/>
      <c r="BF402" s="7"/>
      <c r="BG402" s="7"/>
    </row>
    <row r="403" spans="1:59">
      <c r="A403" s="7"/>
      <c r="B403" s="7"/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  <c r="AA403" s="7"/>
      <c r="AB403" s="7"/>
      <c r="AC403" s="7"/>
      <c r="AD403" s="7"/>
      <c r="AE403" s="7"/>
      <c r="AF403" s="7"/>
      <c r="AG403" s="7"/>
      <c r="AH403" s="7"/>
      <c r="AI403" s="7"/>
      <c r="AJ403" s="7"/>
      <c r="AK403" s="7"/>
      <c r="AL403" s="7"/>
      <c r="AM403" s="7"/>
      <c r="AN403" s="7"/>
      <c r="AO403" s="7"/>
      <c r="AP403" s="7"/>
      <c r="AQ403" s="7"/>
      <c r="AR403" s="7"/>
      <c r="AS403" s="7"/>
      <c r="AT403" s="7"/>
      <c r="AU403" s="7"/>
      <c r="AV403" s="7"/>
      <c r="AW403" s="7"/>
      <c r="AX403" s="7"/>
      <c r="AY403" s="7"/>
      <c r="AZ403" s="7"/>
      <c r="BA403" s="7"/>
      <c r="BB403" s="7"/>
      <c r="BC403" s="7"/>
      <c r="BD403" s="7"/>
      <c r="BE403" s="7"/>
      <c r="BF403" s="7"/>
      <c r="BG403" s="7"/>
    </row>
    <row r="404" spans="1:59">
      <c r="A404" s="7"/>
      <c r="B404" s="7"/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  <c r="AA404" s="7"/>
      <c r="AB404" s="7"/>
      <c r="AC404" s="7"/>
      <c r="AD404" s="7"/>
      <c r="AE404" s="7"/>
      <c r="AF404" s="7"/>
      <c r="AG404" s="7"/>
      <c r="AH404" s="7"/>
      <c r="AI404" s="7"/>
      <c r="AJ404" s="7"/>
      <c r="AK404" s="7"/>
      <c r="AL404" s="7"/>
      <c r="AM404" s="7"/>
      <c r="AN404" s="7"/>
      <c r="AO404" s="7"/>
      <c r="AP404" s="7"/>
      <c r="AQ404" s="7"/>
      <c r="AR404" s="7"/>
      <c r="AS404" s="7"/>
      <c r="AT404" s="7"/>
      <c r="AU404" s="7"/>
      <c r="AV404" s="7"/>
      <c r="AW404" s="7"/>
      <c r="AX404" s="7"/>
      <c r="AY404" s="7"/>
      <c r="AZ404" s="7"/>
      <c r="BA404" s="7"/>
      <c r="BB404" s="7"/>
      <c r="BC404" s="7"/>
      <c r="BD404" s="7"/>
      <c r="BE404" s="7"/>
      <c r="BF404" s="7"/>
      <c r="BG404" s="7"/>
    </row>
    <row r="405" spans="1:59">
      <c r="A405" s="7"/>
      <c r="B405" s="7"/>
      <c r="C405" s="7"/>
      <c r="D405" s="7"/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  <c r="AA405" s="7"/>
      <c r="AB405" s="7"/>
      <c r="AC405" s="7"/>
      <c r="AD405" s="7"/>
      <c r="AE405" s="7"/>
      <c r="AF405" s="7"/>
      <c r="AG405" s="7"/>
      <c r="AH405" s="7"/>
      <c r="AI405" s="7"/>
      <c r="AJ405" s="7"/>
      <c r="AK405" s="7"/>
      <c r="AL405" s="7"/>
      <c r="AM405" s="7"/>
      <c r="AN405" s="7"/>
      <c r="AO405" s="7"/>
      <c r="AP405" s="7"/>
      <c r="AQ405" s="7"/>
      <c r="AR405" s="7"/>
      <c r="AS405" s="7"/>
      <c r="AT405" s="7"/>
      <c r="AU405" s="7"/>
      <c r="AV405" s="7"/>
      <c r="AW405" s="7"/>
      <c r="AX405" s="7"/>
      <c r="AY405" s="7"/>
      <c r="AZ405" s="7"/>
      <c r="BA405" s="7"/>
      <c r="BB405" s="7"/>
      <c r="BC405" s="7"/>
      <c r="BD405" s="7"/>
      <c r="BE405" s="7"/>
      <c r="BF405" s="7"/>
      <c r="BG405" s="7"/>
    </row>
    <row r="406" spans="1:59">
      <c r="A406" s="7"/>
      <c r="B406" s="7"/>
      <c r="C406" s="7"/>
      <c r="D406" s="7"/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  <c r="AA406" s="7"/>
      <c r="AB406" s="7"/>
      <c r="AC406" s="7"/>
      <c r="AD406" s="7"/>
      <c r="AE406" s="7"/>
      <c r="AF406" s="7"/>
      <c r="AG406" s="7"/>
      <c r="AH406" s="7"/>
      <c r="AI406" s="7"/>
      <c r="AJ406" s="7"/>
      <c r="AK406" s="7"/>
      <c r="AL406" s="7"/>
      <c r="AM406" s="7"/>
      <c r="AN406" s="7"/>
      <c r="AO406" s="7"/>
      <c r="AP406" s="7"/>
      <c r="AQ406" s="7"/>
      <c r="AR406" s="7"/>
      <c r="AS406" s="7"/>
      <c r="AT406" s="7"/>
      <c r="AU406" s="7"/>
      <c r="AV406" s="7"/>
      <c r="AW406" s="7"/>
      <c r="AX406" s="7"/>
      <c r="AY406" s="7"/>
      <c r="AZ406" s="7"/>
      <c r="BA406" s="7"/>
      <c r="BB406" s="7"/>
      <c r="BC406" s="7"/>
      <c r="BD406" s="7"/>
      <c r="BE406" s="7"/>
      <c r="BF406" s="7"/>
      <c r="BG406" s="7"/>
    </row>
    <row r="407" spans="1:59">
      <c r="A407" s="7"/>
      <c r="B407" s="7"/>
      <c r="C407" s="7"/>
      <c r="D407" s="7"/>
      <c r="E407" s="7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  <c r="AA407" s="7"/>
      <c r="AB407" s="7"/>
      <c r="AC407" s="7"/>
      <c r="AD407" s="7"/>
      <c r="AE407" s="7"/>
      <c r="AF407" s="7"/>
      <c r="AG407" s="7"/>
      <c r="AH407" s="7"/>
      <c r="AI407" s="7"/>
      <c r="AJ407" s="7"/>
      <c r="AK407" s="7"/>
      <c r="AL407" s="7"/>
      <c r="AM407" s="7"/>
      <c r="AN407" s="7"/>
      <c r="AO407" s="7"/>
      <c r="AP407" s="7"/>
      <c r="AQ407" s="7"/>
      <c r="AR407" s="7"/>
      <c r="AS407" s="7"/>
      <c r="AT407" s="7"/>
      <c r="AU407" s="7"/>
      <c r="AV407" s="7"/>
      <c r="AW407" s="7"/>
      <c r="AX407" s="7"/>
      <c r="AY407" s="7"/>
      <c r="AZ407" s="7"/>
      <c r="BA407" s="7"/>
      <c r="BB407" s="7"/>
      <c r="BC407" s="7"/>
      <c r="BD407" s="7"/>
      <c r="BE407" s="7"/>
      <c r="BF407" s="7"/>
      <c r="BG407" s="7"/>
    </row>
    <row r="408" spans="1:59">
      <c r="A408" s="7"/>
      <c r="B408" s="7"/>
      <c r="C408" s="7"/>
      <c r="D408" s="7"/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  <c r="AA408" s="7"/>
      <c r="AB408" s="7"/>
      <c r="AC408" s="7"/>
      <c r="AD408" s="7"/>
      <c r="AE408" s="7"/>
      <c r="AF408" s="7"/>
      <c r="AG408" s="7"/>
      <c r="AH408" s="7"/>
      <c r="AI408" s="7"/>
      <c r="AJ408" s="7"/>
      <c r="AK408" s="7"/>
      <c r="AL408" s="7"/>
      <c r="AM408" s="7"/>
      <c r="AN408" s="7"/>
      <c r="AO408" s="7"/>
      <c r="AP408" s="7"/>
      <c r="AQ408" s="7"/>
      <c r="AR408" s="7"/>
      <c r="AS408" s="7"/>
      <c r="AT408" s="7"/>
      <c r="AU408" s="7"/>
      <c r="AV408" s="7"/>
      <c r="AW408" s="7"/>
      <c r="AX408" s="7"/>
      <c r="AY408" s="7"/>
      <c r="AZ408" s="7"/>
      <c r="BA408" s="7"/>
      <c r="BB408" s="7"/>
      <c r="BC408" s="7"/>
      <c r="BD408" s="7"/>
      <c r="BE408" s="7"/>
      <c r="BF408" s="7"/>
      <c r="BG408" s="7"/>
    </row>
    <row r="409" spans="1:59">
      <c r="A409" s="7"/>
      <c r="B409" s="7"/>
      <c r="C409" s="7"/>
      <c r="D409" s="7"/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  <c r="AA409" s="7"/>
      <c r="AB409" s="7"/>
      <c r="AC409" s="7"/>
      <c r="AD409" s="7"/>
      <c r="AE409" s="7"/>
      <c r="AF409" s="7"/>
      <c r="AG409" s="7"/>
      <c r="AH409" s="7"/>
      <c r="AI409" s="7"/>
      <c r="AJ409" s="7"/>
      <c r="AK409" s="7"/>
      <c r="AL409" s="7"/>
      <c r="AM409" s="7"/>
      <c r="AN409" s="7"/>
      <c r="AO409" s="7"/>
      <c r="AP409" s="7"/>
      <c r="AQ409" s="7"/>
      <c r="AR409" s="7"/>
      <c r="AS409" s="7"/>
      <c r="AT409" s="7"/>
      <c r="AU409" s="7"/>
      <c r="AV409" s="7"/>
      <c r="AW409" s="7"/>
      <c r="AX409" s="7"/>
      <c r="AY409" s="7"/>
      <c r="AZ409" s="7"/>
      <c r="BA409" s="7"/>
      <c r="BB409" s="7"/>
      <c r="BC409" s="7"/>
      <c r="BD409" s="7"/>
      <c r="BE409" s="7"/>
      <c r="BF409" s="7"/>
      <c r="BG409" s="7"/>
    </row>
    <row r="410" spans="1:59">
      <c r="A410" s="7"/>
      <c r="B410" s="7"/>
      <c r="C410" s="7"/>
      <c r="D410" s="7"/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  <c r="AA410" s="7"/>
      <c r="AB410" s="7"/>
      <c r="AC410" s="7"/>
      <c r="AD410" s="7"/>
      <c r="AE410" s="7"/>
      <c r="AF410" s="7"/>
      <c r="AG410" s="7"/>
      <c r="AH410" s="7"/>
      <c r="AI410" s="7"/>
      <c r="AJ410" s="7"/>
      <c r="AK410" s="7"/>
      <c r="AL410" s="7"/>
      <c r="AM410" s="7"/>
      <c r="AN410" s="7"/>
      <c r="AO410" s="7"/>
      <c r="AP410" s="7"/>
      <c r="AQ410" s="7"/>
      <c r="AR410" s="7"/>
      <c r="AS410" s="7"/>
      <c r="AT410" s="7"/>
      <c r="AU410" s="7"/>
      <c r="AV410" s="7"/>
      <c r="AW410" s="7"/>
      <c r="AX410" s="7"/>
      <c r="AY410" s="7"/>
      <c r="AZ410" s="7"/>
      <c r="BA410" s="7"/>
      <c r="BB410" s="7"/>
      <c r="BC410" s="7"/>
      <c r="BD410" s="7"/>
      <c r="BE410" s="7"/>
      <c r="BF410" s="7"/>
      <c r="BG410" s="7"/>
    </row>
    <row r="411" spans="1:59">
      <c r="A411" s="7"/>
      <c r="B411" s="7"/>
      <c r="C411" s="7"/>
      <c r="D411" s="7"/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  <c r="AA411" s="7"/>
      <c r="AB411" s="7"/>
      <c r="AC411" s="7"/>
      <c r="AD411" s="7"/>
      <c r="AE411" s="7"/>
      <c r="AF411" s="7"/>
      <c r="AG411" s="7"/>
      <c r="AH411" s="7"/>
      <c r="AI411" s="7"/>
      <c r="AJ411" s="7"/>
      <c r="AK411" s="7"/>
      <c r="AL411" s="7"/>
      <c r="AM411" s="7"/>
      <c r="AN411" s="7"/>
      <c r="AO411" s="7"/>
      <c r="AP411" s="7"/>
      <c r="AQ411" s="7"/>
      <c r="AR411" s="7"/>
      <c r="AS411" s="7"/>
      <c r="AT411" s="7"/>
      <c r="AU411" s="7"/>
      <c r="AV411" s="7"/>
      <c r="AW411" s="7"/>
      <c r="AX411" s="7"/>
      <c r="AY411" s="7"/>
      <c r="AZ411" s="7"/>
      <c r="BA411" s="7"/>
      <c r="BB411" s="7"/>
      <c r="BC411" s="7"/>
      <c r="BD411" s="7"/>
      <c r="BE411" s="7"/>
      <c r="BF411" s="7"/>
      <c r="BG411" s="7"/>
    </row>
    <row r="412" spans="1:59">
      <c r="A412" s="7"/>
      <c r="B412" s="7"/>
      <c r="C412" s="7"/>
      <c r="D412" s="7"/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  <c r="AA412" s="7"/>
      <c r="AB412" s="7"/>
      <c r="AC412" s="7"/>
      <c r="AD412" s="7"/>
      <c r="AE412" s="7"/>
      <c r="AF412" s="7"/>
      <c r="AG412" s="7"/>
      <c r="AH412" s="7"/>
      <c r="AI412" s="7"/>
      <c r="AJ412" s="7"/>
      <c r="AK412" s="7"/>
      <c r="AL412" s="7"/>
      <c r="AM412" s="7"/>
      <c r="AN412" s="7"/>
      <c r="AO412" s="7"/>
      <c r="AP412" s="7"/>
      <c r="AQ412" s="7"/>
      <c r="AR412" s="7"/>
      <c r="AS412" s="7"/>
      <c r="AT412" s="7"/>
      <c r="AU412" s="7"/>
      <c r="AV412" s="7"/>
      <c r="AW412" s="7"/>
      <c r="AX412" s="7"/>
      <c r="AY412" s="7"/>
      <c r="AZ412" s="7"/>
      <c r="BA412" s="7"/>
      <c r="BB412" s="7"/>
      <c r="BC412" s="7"/>
      <c r="BD412" s="7"/>
      <c r="BE412" s="7"/>
      <c r="BF412" s="7"/>
      <c r="BG412" s="7"/>
    </row>
    <row r="413" spans="1:59">
      <c r="A413" s="7"/>
      <c r="B413" s="7"/>
      <c r="C413" s="7"/>
      <c r="D413" s="7"/>
      <c r="E413" s="7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  <c r="AA413" s="7"/>
      <c r="AB413" s="7"/>
      <c r="AC413" s="7"/>
      <c r="AD413" s="7"/>
      <c r="AE413" s="7"/>
      <c r="AF413" s="7"/>
      <c r="AG413" s="7"/>
      <c r="AH413" s="7"/>
      <c r="AI413" s="7"/>
      <c r="AJ413" s="7"/>
      <c r="AK413" s="7"/>
      <c r="AL413" s="7"/>
      <c r="AM413" s="7"/>
      <c r="AN413" s="7"/>
      <c r="AO413" s="7"/>
      <c r="AP413" s="7"/>
      <c r="AQ413" s="7"/>
      <c r="AR413" s="7"/>
      <c r="AS413" s="7"/>
      <c r="AT413" s="7"/>
      <c r="AU413" s="7"/>
      <c r="AV413" s="7"/>
      <c r="AW413" s="7"/>
      <c r="AX413" s="7"/>
      <c r="AY413" s="7"/>
      <c r="AZ413" s="7"/>
      <c r="BA413" s="7"/>
      <c r="BB413" s="7"/>
      <c r="BC413" s="7"/>
      <c r="BD413" s="7"/>
      <c r="BE413" s="7"/>
      <c r="BF413" s="7"/>
      <c r="BG413" s="7"/>
    </row>
    <row r="414" spans="1:59">
      <c r="A414" s="7"/>
      <c r="B414" s="7"/>
      <c r="C414" s="7"/>
      <c r="D414" s="7"/>
      <c r="E414" s="7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  <c r="AA414" s="7"/>
      <c r="AB414" s="7"/>
      <c r="AC414" s="7"/>
      <c r="AD414" s="7"/>
      <c r="AE414" s="7"/>
      <c r="AF414" s="7"/>
      <c r="AG414" s="7"/>
      <c r="AH414" s="7"/>
      <c r="AI414" s="7"/>
      <c r="AJ414" s="7"/>
      <c r="AK414" s="7"/>
      <c r="AL414" s="7"/>
      <c r="AM414" s="7"/>
      <c r="AN414" s="7"/>
      <c r="AO414" s="7"/>
      <c r="AP414" s="7"/>
      <c r="AQ414" s="7"/>
      <c r="AR414" s="7"/>
      <c r="AS414" s="7"/>
      <c r="AT414" s="7"/>
      <c r="AU414" s="7"/>
      <c r="AV414" s="7"/>
      <c r="AW414" s="7"/>
      <c r="AX414" s="7"/>
      <c r="AY414" s="7"/>
      <c r="AZ414" s="7"/>
      <c r="BA414" s="7"/>
      <c r="BB414" s="7"/>
      <c r="BC414" s="7"/>
      <c r="BD414" s="7"/>
      <c r="BE414" s="7"/>
      <c r="BF414" s="7"/>
      <c r="BG414" s="7"/>
    </row>
    <row r="415" spans="1:59">
      <c r="A415" s="7"/>
      <c r="B415" s="7"/>
      <c r="C415" s="7"/>
      <c r="D415" s="7"/>
      <c r="E415" s="7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  <c r="AA415" s="7"/>
      <c r="AB415" s="7"/>
      <c r="AC415" s="7"/>
      <c r="AD415" s="7"/>
      <c r="AE415" s="7"/>
      <c r="AF415" s="7"/>
      <c r="AG415" s="7"/>
      <c r="AH415" s="7"/>
      <c r="AI415" s="7"/>
      <c r="AJ415" s="7"/>
      <c r="AK415" s="7"/>
      <c r="AL415" s="7"/>
      <c r="AM415" s="7"/>
      <c r="AN415" s="7"/>
      <c r="AO415" s="7"/>
      <c r="AP415" s="7"/>
      <c r="AQ415" s="7"/>
      <c r="AR415" s="7"/>
      <c r="AS415" s="7"/>
      <c r="AT415" s="7"/>
      <c r="AU415" s="7"/>
      <c r="AV415" s="7"/>
      <c r="AW415" s="7"/>
      <c r="AX415" s="7"/>
      <c r="AY415" s="7"/>
      <c r="AZ415" s="7"/>
      <c r="BA415" s="7"/>
      <c r="BB415" s="7"/>
      <c r="BC415" s="7"/>
      <c r="BD415" s="7"/>
      <c r="BE415" s="7"/>
      <c r="BF415" s="7"/>
      <c r="BG415" s="7"/>
    </row>
    <row r="416" spans="1:59">
      <c r="A416" s="7"/>
      <c r="B416" s="7"/>
      <c r="C416" s="7"/>
      <c r="D416" s="7"/>
      <c r="E416" s="7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  <c r="AA416" s="7"/>
      <c r="AB416" s="7"/>
      <c r="AC416" s="7"/>
      <c r="AD416" s="7"/>
      <c r="AE416" s="7"/>
      <c r="AF416" s="7"/>
      <c r="AG416" s="7"/>
      <c r="AH416" s="7"/>
      <c r="AI416" s="7"/>
      <c r="AJ416" s="7"/>
      <c r="AK416" s="7"/>
      <c r="AL416" s="7"/>
      <c r="AM416" s="7"/>
      <c r="AN416" s="7"/>
      <c r="AO416" s="7"/>
      <c r="AP416" s="7"/>
      <c r="AQ416" s="7"/>
      <c r="AR416" s="7"/>
      <c r="AS416" s="7"/>
      <c r="AT416" s="7"/>
      <c r="AU416" s="7"/>
      <c r="AV416" s="7"/>
      <c r="AW416" s="7"/>
      <c r="AX416" s="7"/>
      <c r="AY416" s="7"/>
      <c r="AZ416" s="7"/>
      <c r="BA416" s="7"/>
      <c r="BB416" s="7"/>
      <c r="BC416" s="7"/>
      <c r="BD416" s="7"/>
      <c r="BE416" s="7"/>
      <c r="BF416" s="7"/>
      <c r="BG416" s="7"/>
    </row>
    <row r="417" spans="1:59">
      <c r="A417" s="7"/>
      <c r="B417" s="7"/>
      <c r="C417" s="7"/>
      <c r="D417" s="7"/>
      <c r="E417" s="7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  <c r="AA417" s="7"/>
      <c r="AB417" s="7"/>
      <c r="AC417" s="7"/>
      <c r="AD417" s="7"/>
      <c r="AE417" s="7"/>
      <c r="AF417" s="7"/>
      <c r="AG417" s="7"/>
      <c r="AH417" s="7"/>
      <c r="AI417" s="7"/>
      <c r="AJ417" s="7"/>
      <c r="AK417" s="7"/>
      <c r="AL417" s="7"/>
      <c r="AM417" s="7"/>
      <c r="AN417" s="7"/>
      <c r="AO417" s="7"/>
      <c r="AP417" s="7"/>
      <c r="AQ417" s="7"/>
      <c r="AR417" s="7"/>
      <c r="AS417" s="7"/>
      <c r="AT417" s="7"/>
      <c r="AU417" s="7"/>
      <c r="AV417" s="7"/>
      <c r="AW417" s="7"/>
      <c r="AX417" s="7"/>
      <c r="AY417" s="7"/>
      <c r="AZ417" s="7"/>
      <c r="BA417" s="7"/>
      <c r="BB417" s="7"/>
      <c r="BC417" s="7"/>
      <c r="BD417" s="7"/>
      <c r="BE417" s="7"/>
      <c r="BF417" s="7"/>
      <c r="BG417" s="7"/>
    </row>
    <row r="418" spans="1:59">
      <c r="A418" s="7"/>
      <c r="B418" s="7"/>
      <c r="C418" s="7"/>
      <c r="D418" s="7"/>
      <c r="E418" s="7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  <c r="AA418" s="7"/>
      <c r="AB418" s="7"/>
      <c r="AC418" s="7"/>
      <c r="AD418" s="7"/>
      <c r="AE418" s="7"/>
      <c r="AF418" s="7"/>
      <c r="AG418" s="7"/>
      <c r="AH418" s="7"/>
      <c r="AI418" s="7"/>
      <c r="AJ418" s="7"/>
      <c r="AK418" s="7"/>
      <c r="AL418" s="7"/>
      <c r="AM418" s="7"/>
      <c r="AN418" s="7"/>
      <c r="AO418" s="7"/>
      <c r="AP418" s="7"/>
      <c r="AQ418" s="7"/>
      <c r="AR418" s="7"/>
      <c r="AS418" s="7"/>
      <c r="AT418" s="7"/>
      <c r="AU418" s="7"/>
      <c r="AV418" s="7"/>
      <c r="AW418" s="7"/>
      <c r="AX418" s="7"/>
      <c r="AY418" s="7"/>
      <c r="AZ418" s="7"/>
      <c r="BA418" s="7"/>
      <c r="BB418" s="7"/>
      <c r="BC418" s="7"/>
      <c r="BD418" s="7"/>
      <c r="BE418" s="7"/>
      <c r="BF418" s="7"/>
      <c r="BG418" s="7"/>
    </row>
    <row r="419" spans="1:59">
      <c r="A419" s="7"/>
      <c r="B419" s="7"/>
      <c r="C419" s="7"/>
      <c r="D419" s="7"/>
      <c r="E419" s="7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  <c r="AA419" s="7"/>
      <c r="AB419" s="7"/>
      <c r="AC419" s="7"/>
      <c r="AD419" s="7"/>
      <c r="AE419" s="7"/>
      <c r="AF419" s="7"/>
      <c r="AG419" s="7"/>
      <c r="AH419" s="7"/>
      <c r="AI419" s="7"/>
      <c r="AJ419" s="7"/>
      <c r="AK419" s="7"/>
      <c r="AL419" s="7"/>
      <c r="AM419" s="7"/>
      <c r="AN419" s="7"/>
      <c r="AO419" s="7"/>
      <c r="AP419" s="7"/>
      <c r="AQ419" s="7"/>
      <c r="AR419" s="7"/>
      <c r="AS419" s="7"/>
      <c r="AT419" s="7"/>
      <c r="AU419" s="7"/>
      <c r="AV419" s="7"/>
      <c r="AW419" s="7"/>
      <c r="AX419" s="7"/>
      <c r="AY419" s="7"/>
      <c r="AZ419" s="7"/>
      <c r="BA419" s="7"/>
      <c r="BB419" s="7"/>
      <c r="BC419" s="7"/>
      <c r="BD419" s="7"/>
      <c r="BE419" s="7"/>
      <c r="BF419" s="7"/>
      <c r="BG419" s="7"/>
    </row>
    <row r="420" spans="1:59">
      <c r="A420" s="7"/>
      <c r="B420" s="7"/>
      <c r="C420" s="7"/>
      <c r="D420" s="7"/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  <c r="AA420" s="7"/>
      <c r="AB420" s="7"/>
      <c r="AC420" s="7"/>
      <c r="AD420" s="7"/>
      <c r="AE420" s="7"/>
      <c r="AF420" s="7"/>
      <c r="AG420" s="7"/>
      <c r="AH420" s="7"/>
      <c r="AI420" s="7"/>
      <c r="AJ420" s="7"/>
      <c r="AK420" s="7"/>
      <c r="AL420" s="7"/>
      <c r="AM420" s="7"/>
      <c r="AN420" s="7"/>
      <c r="AO420" s="7"/>
      <c r="AP420" s="7"/>
      <c r="AQ420" s="7"/>
      <c r="AR420" s="7"/>
      <c r="AS420" s="7"/>
      <c r="AT420" s="7"/>
      <c r="AU420" s="7"/>
      <c r="AV420" s="7"/>
      <c r="AW420" s="7"/>
      <c r="AX420" s="7"/>
      <c r="AY420" s="7"/>
      <c r="AZ420" s="7"/>
      <c r="BA420" s="7"/>
      <c r="BB420" s="7"/>
      <c r="BC420" s="7"/>
      <c r="BD420" s="7"/>
      <c r="BE420" s="7"/>
      <c r="BF420" s="7"/>
      <c r="BG420" s="7"/>
    </row>
    <row r="421" spans="1:59">
      <c r="A421" s="7"/>
      <c r="B421" s="7"/>
      <c r="C421" s="7"/>
      <c r="D421" s="7"/>
      <c r="E421" s="7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  <c r="AA421" s="7"/>
      <c r="AB421" s="7"/>
      <c r="AC421" s="7"/>
      <c r="AD421" s="7"/>
      <c r="AE421" s="7"/>
      <c r="AF421" s="7"/>
      <c r="AG421" s="7"/>
      <c r="AH421" s="7"/>
      <c r="AI421" s="7"/>
      <c r="AJ421" s="7"/>
      <c r="AK421" s="7"/>
      <c r="AL421" s="7"/>
      <c r="AM421" s="7"/>
      <c r="AN421" s="7"/>
      <c r="AO421" s="7"/>
      <c r="AP421" s="7"/>
      <c r="AQ421" s="7"/>
      <c r="AR421" s="7"/>
      <c r="AS421" s="7"/>
      <c r="AT421" s="7"/>
      <c r="AU421" s="7"/>
      <c r="AV421" s="7"/>
      <c r="AW421" s="7"/>
      <c r="AX421" s="7"/>
      <c r="AY421" s="7"/>
      <c r="AZ421" s="7"/>
      <c r="BA421" s="7"/>
      <c r="BB421" s="7"/>
      <c r="BC421" s="7"/>
      <c r="BD421" s="7"/>
      <c r="BE421" s="7"/>
      <c r="BF421" s="7"/>
      <c r="BG421" s="7"/>
    </row>
    <row r="422" spans="1:59">
      <c r="A422" s="7"/>
      <c r="B422" s="7"/>
      <c r="C422" s="7"/>
      <c r="D422" s="7"/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  <c r="AA422" s="7"/>
      <c r="AB422" s="7"/>
      <c r="AC422" s="7"/>
      <c r="AD422" s="7"/>
      <c r="AE422" s="7"/>
      <c r="AF422" s="7"/>
      <c r="AG422" s="7"/>
      <c r="AH422" s="7"/>
      <c r="AI422" s="7"/>
      <c r="AJ422" s="7"/>
      <c r="AK422" s="7"/>
      <c r="AL422" s="7"/>
      <c r="AM422" s="7"/>
      <c r="AN422" s="7"/>
      <c r="AO422" s="7"/>
      <c r="AP422" s="7"/>
      <c r="AQ422" s="7"/>
      <c r="AR422" s="7"/>
      <c r="AS422" s="7"/>
      <c r="AT422" s="7"/>
      <c r="AU422" s="7"/>
      <c r="AV422" s="7"/>
      <c r="AW422" s="7"/>
      <c r="AX422" s="7"/>
      <c r="AY422" s="7"/>
      <c r="AZ422" s="7"/>
      <c r="BA422" s="7"/>
      <c r="BB422" s="7"/>
      <c r="BC422" s="7"/>
      <c r="BD422" s="7"/>
      <c r="BE422" s="7"/>
      <c r="BF422" s="7"/>
      <c r="BG422" s="7"/>
    </row>
    <row r="423" spans="1:59">
      <c r="A423" s="7"/>
      <c r="B423" s="7"/>
      <c r="C423" s="7"/>
      <c r="D423" s="7"/>
      <c r="E423" s="7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  <c r="AA423" s="7"/>
      <c r="AB423" s="7"/>
      <c r="AC423" s="7"/>
      <c r="AD423" s="7"/>
      <c r="AE423" s="7"/>
      <c r="AF423" s="7"/>
      <c r="AG423" s="7"/>
      <c r="AH423" s="7"/>
      <c r="AI423" s="7"/>
      <c r="AJ423" s="7"/>
      <c r="AK423" s="7"/>
      <c r="AL423" s="7"/>
      <c r="AM423" s="7"/>
      <c r="AN423" s="7"/>
      <c r="AO423" s="7"/>
      <c r="AP423" s="7"/>
      <c r="AQ423" s="7"/>
      <c r="AR423" s="7"/>
      <c r="AS423" s="7"/>
      <c r="AT423" s="7"/>
      <c r="AU423" s="7"/>
      <c r="AV423" s="7"/>
      <c r="AW423" s="7"/>
      <c r="AX423" s="7"/>
      <c r="AY423" s="7"/>
      <c r="AZ423" s="7"/>
      <c r="BA423" s="7"/>
      <c r="BB423" s="7"/>
      <c r="BC423" s="7"/>
      <c r="BD423" s="7"/>
      <c r="BE423" s="7"/>
      <c r="BF423" s="7"/>
      <c r="BG423" s="7"/>
    </row>
    <row r="424" spans="1:59">
      <c r="A424" s="7"/>
      <c r="B424" s="7"/>
      <c r="C424" s="7"/>
      <c r="D424" s="7"/>
      <c r="E424" s="7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  <c r="AA424" s="7"/>
      <c r="AB424" s="7"/>
      <c r="AC424" s="7"/>
      <c r="AD424" s="7"/>
      <c r="AE424" s="7"/>
      <c r="AF424" s="7"/>
      <c r="AG424" s="7"/>
      <c r="AH424" s="7"/>
      <c r="AI424" s="7"/>
      <c r="AJ424" s="7"/>
      <c r="AK424" s="7"/>
      <c r="AL424" s="7"/>
      <c r="AM424" s="7"/>
      <c r="AN424" s="7"/>
      <c r="AO424" s="7"/>
      <c r="AP424" s="7"/>
      <c r="AQ424" s="7"/>
      <c r="AR424" s="7"/>
      <c r="AS424" s="7"/>
      <c r="AT424" s="7"/>
      <c r="AU424" s="7"/>
      <c r="AV424" s="7"/>
      <c r="AW424" s="7"/>
      <c r="AX424" s="7"/>
      <c r="AY424" s="7"/>
      <c r="AZ424" s="7"/>
      <c r="BA424" s="7"/>
      <c r="BB424" s="7"/>
      <c r="BC424" s="7"/>
      <c r="BD424" s="7"/>
      <c r="BE424" s="7"/>
      <c r="BF424" s="7"/>
      <c r="BG424" s="7"/>
    </row>
    <row r="425" spans="1:59">
      <c r="A425" s="7"/>
      <c r="B425" s="7"/>
      <c r="C425" s="7"/>
      <c r="D425" s="7"/>
      <c r="E425" s="7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  <c r="AA425" s="7"/>
      <c r="AB425" s="7"/>
      <c r="AC425" s="7"/>
      <c r="AD425" s="7"/>
      <c r="AE425" s="7"/>
      <c r="AF425" s="7"/>
      <c r="AG425" s="7"/>
      <c r="AH425" s="7"/>
      <c r="AI425" s="7"/>
      <c r="AJ425" s="7"/>
      <c r="AK425" s="7"/>
      <c r="AL425" s="7"/>
      <c r="AM425" s="7"/>
      <c r="AN425" s="7"/>
      <c r="AO425" s="7"/>
      <c r="AP425" s="7"/>
      <c r="AQ425" s="7"/>
      <c r="AR425" s="7"/>
      <c r="AS425" s="7"/>
      <c r="AT425" s="7"/>
      <c r="AU425" s="7"/>
      <c r="AV425" s="7"/>
      <c r="AW425" s="7"/>
      <c r="AX425" s="7"/>
      <c r="AY425" s="7"/>
      <c r="AZ425" s="7"/>
      <c r="BA425" s="7"/>
      <c r="BB425" s="7"/>
      <c r="BC425" s="7"/>
      <c r="BD425" s="7"/>
      <c r="BE425" s="7"/>
      <c r="BF425" s="7"/>
      <c r="BG425" s="7"/>
    </row>
    <row r="426" spans="1:59">
      <c r="A426" s="7"/>
      <c r="B426" s="7"/>
      <c r="C426" s="7"/>
      <c r="D426" s="7"/>
      <c r="E426" s="7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  <c r="AA426" s="7"/>
      <c r="AB426" s="7"/>
      <c r="AC426" s="7"/>
      <c r="AD426" s="7"/>
      <c r="AE426" s="7"/>
      <c r="AF426" s="7"/>
      <c r="AG426" s="7"/>
      <c r="AH426" s="7"/>
      <c r="AI426" s="7"/>
      <c r="AJ426" s="7"/>
      <c r="AK426" s="7"/>
      <c r="AL426" s="7"/>
      <c r="AM426" s="7"/>
      <c r="AN426" s="7"/>
      <c r="AO426" s="7"/>
      <c r="AP426" s="7"/>
      <c r="AQ426" s="7"/>
      <c r="AR426" s="7"/>
      <c r="AS426" s="7"/>
      <c r="AT426" s="7"/>
      <c r="AU426" s="7"/>
      <c r="AV426" s="7"/>
      <c r="AW426" s="7"/>
      <c r="AX426" s="7"/>
      <c r="AY426" s="7"/>
      <c r="AZ426" s="7"/>
      <c r="BA426" s="7"/>
      <c r="BB426" s="7"/>
      <c r="BC426" s="7"/>
      <c r="BD426" s="7"/>
      <c r="BE426" s="7"/>
      <c r="BF426" s="7"/>
      <c r="BG426" s="7"/>
    </row>
    <row r="427" spans="1:59">
      <c r="A427" s="7"/>
      <c r="B427" s="7"/>
      <c r="C427" s="7"/>
      <c r="D427" s="7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  <c r="AA427" s="7"/>
      <c r="AB427" s="7"/>
      <c r="AC427" s="7"/>
      <c r="AD427" s="7"/>
      <c r="AE427" s="7"/>
      <c r="AF427" s="7"/>
      <c r="AG427" s="7"/>
      <c r="AH427" s="7"/>
      <c r="AI427" s="7"/>
      <c r="AJ427" s="7"/>
      <c r="AK427" s="7"/>
      <c r="AL427" s="7"/>
      <c r="AM427" s="7"/>
      <c r="AN427" s="7"/>
      <c r="AO427" s="7"/>
      <c r="AP427" s="7"/>
      <c r="AQ427" s="7"/>
      <c r="AR427" s="7"/>
      <c r="AS427" s="7"/>
      <c r="AT427" s="7"/>
      <c r="AU427" s="7"/>
      <c r="AV427" s="7"/>
      <c r="AW427" s="7"/>
      <c r="AX427" s="7"/>
      <c r="AY427" s="7"/>
      <c r="AZ427" s="7"/>
      <c r="BA427" s="7"/>
      <c r="BB427" s="7"/>
      <c r="BC427" s="7"/>
      <c r="BD427" s="7"/>
      <c r="BE427" s="7"/>
      <c r="BF427" s="7"/>
      <c r="BG427" s="7"/>
    </row>
    <row r="428" spans="1:59">
      <c r="A428" s="7"/>
      <c r="B428" s="7"/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  <c r="AA428" s="7"/>
      <c r="AB428" s="7"/>
      <c r="AC428" s="7"/>
      <c r="AD428" s="7"/>
      <c r="AE428" s="7"/>
      <c r="AF428" s="7"/>
      <c r="AG428" s="7"/>
      <c r="AH428" s="7"/>
      <c r="AI428" s="7"/>
      <c r="AJ428" s="7"/>
      <c r="AK428" s="7"/>
      <c r="AL428" s="7"/>
      <c r="AM428" s="7"/>
      <c r="AN428" s="7"/>
      <c r="AO428" s="7"/>
      <c r="AP428" s="7"/>
      <c r="AQ428" s="7"/>
      <c r="AR428" s="7"/>
      <c r="AS428" s="7"/>
      <c r="AT428" s="7"/>
      <c r="AU428" s="7"/>
      <c r="AV428" s="7"/>
      <c r="AW428" s="7"/>
      <c r="AX428" s="7"/>
      <c r="AY428" s="7"/>
      <c r="AZ428" s="7"/>
      <c r="BA428" s="7"/>
      <c r="BB428" s="7"/>
      <c r="BC428" s="7"/>
      <c r="BD428" s="7"/>
      <c r="BE428" s="7"/>
      <c r="BF428" s="7"/>
      <c r="BG428" s="7"/>
    </row>
    <row r="429" spans="1:59">
      <c r="A429" s="7"/>
      <c r="B429" s="7"/>
      <c r="C429" s="7"/>
      <c r="D429" s="7"/>
      <c r="E429" s="7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  <c r="AA429" s="7"/>
      <c r="AB429" s="7"/>
      <c r="AC429" s="7"/>
      <c r="AD429" s="7"/>
      <c r="AE429" s="7"/>
      <c r="AF429" s="7"/>
      <c r="AG429" s="7"/>
      <c r="AH429" s="7"/>
      <c r="AI429" s="7"/>
      <c r="AJ429" s="7"/>
      <c r="AK429" s="7"/>
      <c r="AL429" s="7"/>
      <c r="AM429" s="7"/>
      <c r="AN429" s="7"/>
      <c r="AO429" s="7"/>
      <c r="AP429" s="7"/>
      <c r="AQ429" s="7"/>
      <c r="AR429" s="7"/>
      <c r="AS429" s="7"/>
      <c r="AT429" s="7"/>
      <c r="AU429" s="7"/>
      <c r="AV429" s="7"/>
      <c r="AW429" s="7"/>
      <c r="AX429" s="7"/>
      <c r="AY429" s="7"/>
      <c r="AZ429" s="7"/>
      <c r="BA429" s="7"/>
      <c r="BB429" s="7"/>
      <c r="BC429" s="7"/>
      <c r="BD429" s="7"/>
      <c r="BE429" s="7"/>
      <c r="BF429" s="7"/>
      <c r="BG429" s="7"/>
    </row>
    <row r="430" spans="1:59">
      <c r="A430" s="7"/>
      <c r="B430" s="7"/>
      <c r="C430" s="7"/>
      <c r="D430" s="7"/>
      <c r="E430" s="7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  <c r="AA430" s="7"/>
      <c r="AB430" s="7"/>
      <c r="AC430" s="7"/>
      <c r="AD430" s="7"/>
      <c r="AE430" s="7"/>
      <c r="AF430" s="7"/>
      <c r="AG430" s="7"/>
      <c r="AH430" s="7"/>
      <c r="AI430" s="7"/>
      <c r="AJ430" s="7"/>
      <c r="AK430" s="7"/>
      <c r="AL430" s="7"/>
      <c r="AM430" s="7"/>
      <c r="AN430" s="7"/>
      <c r="AO430" s="7"/>
      <c r="AP430" s="7"/>
      <c r="AQ430" s="7"/>
      <c r="AR430" s="7"/>
      <c r="AS430" s="7"/>
      <c r="AT430" s="7"/>
      <c r="AU430" s="7"/>
      <c r="AV430" s="7"/>
      <c r="AW430" s="7"/>
      <c r="AX430" s="7"/>
      <c r="AY430" s="7"/>
      <c r="AZ430" s="7"/>
      <c r="BA430" s="7"/>
      <c r="BB430" s="7"/>
      <c r="BC430" s="7"/>
      <c r="BD430" s="7"/>
      <c r="BE430" s="7"/>
      <c r="BF430" s="7"/>
      <c r="BG430" s="7"/>
    </row>
    <row r="431" spans="1:59">
      <c r="A431" s="7"/>
      <c r="B431" s="7"/>
      <c r="C431" s="7"/>
      <c r="D431" s="7"/>
      <c r="E431" s="7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  <c r="AA431" s="7"/>
      <c r="AB431" s="7"/>
      <c r="AC431" s="7"/>
      <c r="AD431" s="7"/>
      <c r="AE431" s="7"/>
      <c r="AF431" s="7"/>
      <c r="AG431" s="7"/>
      <c r="AH431" s="7"/>
      <c r="AI431" s="7"/>
      <c r="AJ431" s="7"/>
      <c r="AK431" s="7"/>
      <c r="AL431" s="7"/>
      <c r="AM431" s="7"/>
      <c r="AN431" s="7"/>
      <c r="AO431" s="7"/>
      <c r="AP431" s="7"/>
      <c r="AQ431" s="7"/>
      <c r="AR431" s="7"/>
      <c r="AS431" s="7"/>
      <c r="AT431" s="7"/>
      <c r="AU431" s="7"/>
      <c r="AV431" s="7"/>
      <c r="AW431" s="7"/>
      <c r="AX431" s="7"/>
      <c r="AY431" s="7"/>
      <c r="AZ431" s="7"/>
      <c r="BA431" s="7"/>
      <c r="BB431" s="7"/>
      <c r="BC431" s="7"/>
      <c r="BD431" s="7"/>
      <c r="BE431" s="7"/>
      <c r="BF431" s="7"/>
      <c r="BG431" s="7"/>
    </row>
    <row r="432" spans="1:59">
      <c r="A432" s="7"/>
      <c r="B432" s="7"/>
      <c r="C432" s="7"/>
      <c r="D432" s="7"/>
      <c r="E432" s="7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  <c r="AA432" s="7"/>
      <c r="AB432" s="7"/>
      <c r="AC432" s="7"/>
      <c r="AD432" s="7"/>
      <c r="AE432" s="7"/>
      <c r="AF432" s="7"/>
      <c r="AG432" s="7"/>
      <c r="AH432" s="7"/>
      <c r="AI432" s="7"/>
      <c r="AJ432" s="7"/>
      <c r="AK432" s="7"/>
      <c r="AL432" s="7"/>
      <c r="AM432" s="7"/>
      <c r="AN432" s="7"/>
      <c r="AO432" s="7"/>
      <c r="AP432" s="7"/>
      <c r="AQ432" s="7"/>
      <c r="AR432" s="7"/>
      <c r="AS432" s="7"/>
      <c r="AT432" s="7"/>
      <c r="AU432" s="7"/>
      <c r="AV432" s="7"/>
      <c r="AW432" s="7"/>
      <c r="AX432" s="7"/>
      <c r="AY432" s="7"/>
      <c r="AZ432" s="7"/>
      <c r="BA432" s="7"/>
      <c r="BB432" s="7"/>
      <c r="BC432" s="7"/>
      <c r="BD432" s="7"/>
      <c r="BE432" s="7"/>
      <c r="BF432" s="7"/>
      <c r="BG432" s="7"/>
    </row>
    <row r="433" spans="1:59">
      <c r="A433" s="7"/>
      <c r="B433" s="7"/>
      <c r="C433" s="7"/>
      <c r="D433" s="7"/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  <c r="AA433" s="7"/>
      <c r="AB433" s="7"/>
      <c r="AC433" s="7"/>
      <c r="AD433" s="7"/>
      <c r="AE433" s="7"/>
      <c r="AF433" s="7"/>
      <c r="AG433" s="7"/>
      <c r="AH433" s="7"/>
      <c r="AI433" s="7"/>
      <c r="AJ433" s="7"/>
      <c r="AK433" s="7"/>
      <c r="AL433" s="7"/>
      <c r="AM433" s="7"/>
      <c r="AN433" s="7"/>
      <c r="AO433" s="7"/>
      <c r="AP433" s="7"/>
      <c r="AQ433" s="7"/>
      <c r="AR433" s="7"/>
      <c r="AS433" s="7"/>
      <c r="AT433" s="7"/>
      <c r="AU433" s="7"/>
      <c r="AV433" s="7"/>
      <c r="AW433" s="7"/>
      <c r="AX433" s="7"/>
      <c r="AY433" s="7"/>
      <c r="AZ433" s="7"/>
      <c r="BA433" s="7"/>
      <c r="BB433" s="7"/>
      <c r="BC433" s="7"/>
      <c r="BD433" s="7"/>
      <c r="BE433" s="7"/>
      <c r="BF433" s="7"/>
      <c r="BG433" s="7"/>
    </row>
    <row r="434" spans="1:59">
      <c r="A434" s="7"/>
      <c r="B434" s="7"/>
      <c r="C434" s="7"/>
      <c r="D434" s="7"/>
      <c r="E434" s="7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  <c r="AA434" s="7"/>
      <c r="AB434" s="7"/>
      <c r="AC434" s="7"/>
      <c r="AD434" s="7"/>
      <c r="AE434" s="7"/>
      <c r="AF434" s="7"/>
      <c r="AG434" s="7"/>
      <c r="AH434" s="7"/>
      <c r="AI434" s="7"/>
      <c r="AJ434" s="7"/>
      <c r="AK434" s="7"/>
      <c r="AL434" s="7"/>
      <c r="AM434" s="7"/>
      <c r="AN434" s="7"/>
      <c r="AO434" s="7"/>
      <c r="AP434" s="7"/>
      <c r="AQ434" s="7"/>
      <c r="AR434" s="7"/>
      <c r="AS434" s="7"/>
      <c r="AT434" s="7"/>
      <c r="AU434" s="7"/>
      <c r="AV434" s="7"/>
      <c r="AW434" s="7"/>
      <c r="AX434" s="7"/>
      <c r="AY434" s="7"/>
      <c r="AZ434" s="7"/>
      <c r="BA434" s="7"/>
      <c r="BB434" s="7"/>
      <c r="BC434" s="7"/>
      <c r="BD434" s="7"/>
      <c r="BE434" s="7"/>
      <c r="BF434" s="7"/>
      <c r="BG434" s="7"/>
    </row>
    <row r="435" spans="1:59">
      <c r="A435" s="7"/>
      <c r="B435" s="7"/>
      <c r="C435" s="7"/>
      <c r="D435" s="7"/>
      <c r="E435" s="7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  <c r="AA435" s="7"/>
      <c r="AB435" s="7"/>
      <c r="AC435" s="7"/>
      <c r="AD435" s="7"/>
      <c r="AE435" s="7"/>
      <c r="AF435" s="7"/>
      <c r="AG435" s="7"/>
      <c r="AH435" s="7"/>
      <c r="AI435" s="7"/>
      <c r="AJ435" s="7"/>
      <c r="AK435" s="7"/>
      <c r="AL435" s="7"/>
      <c r="AM435" s="7"/>
      <c r="AN435" s="7"/>
      <c r="AO435" s="7"/>
      <c r="AP435" s="7"/>
      <c r="AQ435" s="7"/>
      <c r="AR435" s="7"/>
      <c r="AS435" s="7"/>
      <c r="AT435" s="7"/>
      <c r="AU435" s="7"/>
      <c r="AV435" s="7"/>
      <c r="AW435" s="7"/>
      <c r="AX435" s="7"/>
      <c r="AY435" s="7"/>
      <c r="AZ435" s="7"/>
      <c r="BA435" s="7"/>
      <c r="BB435" s="7"/>
      <c r="BC435" s="7"/>
      <c r="BD435" s="7"/>
      <c r="BE435" s="7"/>
      <c r="BF435" s="7"/>
      <c r="BG435" s="7"/>
    </row>
    <row r="436" spans="1:59">
      <c r="A436" s="7"/>
      <c r="B436" s="7"/>
      <c r="C436" s="7"/>
      <c r="D436" s="7"/>
      <c r="E436" s="7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  <c r="AA436" s="7"/>
      <c r="AB436" s="7"/>
      <c r="AC436" s="7"/>
      <c r="AD436" s="7"/>
      <c r="AE436" s="7"/>
      <c r="AF436" s="7"/>
      <c r="AG436" s="7"/>
      <c r="AH436" s="7"/>
      <c r="AI436" s="7"/>
      <c r="AJ436" s="7"/>
      <c r="AK436" s="7"/>
      <c r="AL436" s="7"/>
      <c r="AM436" s="7"/>
      <c r="AN436" s="7"/>
      <c r="AO436" s="7"/>
      <c r="AP436" s="7"/>
      <c r="AQ436" s="7"/>
      <c r="AR436" s="7"/>
      <c r="AS436" s="7"/>
      <c r="AT436" s="7"/>
      <c r="AU436" s="7"/>
      <c r="AV436" s="7"/>
      <c r="AW436" s="7"/>
      <c r="AX436" s="7"/>
      <c r="AY436" s="7"/>
      <c r="AZ436" s="7"/>
      <c r="BA436" s="7"/>
      <c r="BB436" s="7"/>
      <c r="BC436" s="7"/>
      <c r="BD436" s="7"/>
      <c r="BE436" s="7"/>
      <c r="BF436" s="7"/>
      <c r="BG436" s="7"/>
    </row>
    <row r="437" spans="1:59">
      <c r="A437" s="7"/>
      <c r="B437" s="7"/>
      <c r="C437" s="7"/>
      <c r="D437" s="7"/>
      <c r="E437" s="7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  <c r="AA437" s="7"/>
      <c r="AB437" s="7"/>
      <c r="AC437" s="7"/>
      <c r="AD437" s="7"/>
      <c r="AE437" s="7"/>
      <c r="AF437" s="7"/>
      <c r="AG437" s="7"/>
      <c r="AH437" s="7"/>
      <c r="AI437" s="7"/>
      <c r="AJ437" s="7"/>
      <c r="AK437" s="7"/>
      <c r="AL437" s="7"/>
      <c r="AM437" s="7"/>
      <c r="AN437" s="7"/>
      <c r="AO437" s="7"/>
      <c r="AP437" s="7"/>
      <c r="AQ437" s="7"/>
      <c r="AR437" s="7"/>
      <c r="AS437" s="7"/>
      <c r="AT437" s="7"/>
      <c r="AU437" s="7"/>
      <c r="AV437" s="7"/>
      <c r="AW437" s="7"/>
      <c r="AX437" s="7"/>
      <c r="AY437" s="7"/>
      <c r="AZ437" s="7"/>
      <c r="BA437" s="7"/>
      <c r="BB437" s="7"/>
      <c r="BC437" s="7"/>
      <c r="BD437" s="7"/>
      <c r="BE437" s="7"/>
      <c r="BF437" s="7"/>
      <c r="BG437" s="7"/>
    </row>
    <row r="438" spans="1:59">
      <c r="A438" s="7"/>
      <c r="B438" s="7"/>
      <c r="C438" s="7"/>
      <c r="D438" s="7"/>
      <c r="E438" s="7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  <c r="AA438" s="7"/>
      <c r="AB438" s="7"/>
      <c r="AC438" s="7"/>
      <c r="AD438" s="7"/>
      <c r="AE438" s="7"/>
      <c r="AF438" s="7"/>
      <c r="AG438" s="7"/>
      <c r="AH438" s="7"/>
      <c r="AI438" s="7"/>
      <c r="AJ438" s="7"/>
      <c r="AK438" s="7"/>
      <c r="AL438" s="7"/>
      <c r="AM438" s="7"/>
      <c r="AN438" s="7"/>
      <c r="AO438" s="7"/>
      <c r="AP438" s="7"/>
      <c r="AQ438" s="7"/>
      <c r="AR438" s="7"/>
      <c r="AS438" s="7"/>
      <c r="AT438" s="7"/>
      <c r="AU438" s="7"/>
      <c r="AV438" s="7"/>
      <c r="AW438" s="7"/>
      <c r="AX438" s="7"/>
      <c r="AY438" s="7"/>
      <c r="AZ438" s="7"/>
      <c r="BA438" s="7"/>
      <c r="BB438" s="7"/>
      <c r="BC438" s="7"/>
      <c r="BD438" s="7"/>
      <c r="BE438" s="7"/>
      <c r="BF438" s="7"/>
      <c r="BG438" s="7"/>
    </row>
    <row r="439" spans="1:59">
      <c r="A439" s="7"/>
      <c r="B439" s="7"/>
      <c r="C439" s="7"/>
      <c r="D439" s="7"/>
      <c r="E439" s="7"/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  <c r="AA439" s="7"/>
      <c r="AB439" s="7"/>
      <c r="AC439" s="7"/>
      <c r="AD439" s="7"/>
      <c r="AE439" s="7"/>
      <c r="AF439" s="7"/>
      <c r="AG439" s="7"/>
      <c r="AH439" s="7"/>
      <c r="AI439" s="7"/>
      <c r="AJ439" s="7"/>
      <c r="AK439" s="7"/>
      <c r="AL439" s="7"/>
      <c r="AM439" s="7"/>
      <c r="AN439" s="7"/>
      <c r="AO439" s="7"/>
      <c r="AP439" s="7"/>
      <c r="AQ439" s="7"/>
      <c r="AR439" s="7"/>
      <c r="AS439" s="7"/>
      <c r="AT439" s="7"/>
      <c r="AU439" s="7"/>
      <c r="AV439" s="7"/>
      <c r="AW439" s="7"/>
      <c r="AX439" s="7"/>
      <c r="AY439" s="7"/>
      <c r="AZ439" s="7"/>
      <c r="BA439" s="7"/>
      <c r="BB439" s="7"/>
      <c r="BC439" s="7"/>
      <c r="BD439" s="7"/>
      <c r="BE439" s="7"/>
      <c r="BF439" s="7"/>
      <c r="BG439" s="7"/>
    </row>
    <row r="440" spans="1:59">
      <c r="A440" s="7"/>
      <c r="B440" s="7"/>
      <c r="C440" s="7"/>
      <c r="D440" s="7"/>
      <c r="E440" s="7"/>
      <c r="F440" s="7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  <c r="AA440" s="7"/>
      <c r="AB440" s="7"/>
      <c r="AC440" s="7"/>
      <c r="AD440" s="7"/>
      <c r="AE440" s="7"/>
      <c r="AF440" s="7"/>
      <c r="AG440" s="7"/>
      <c r="AH440" s="7"/>
      <c r="AI440" s="7"/>
      <c r="AJ440" s="7"/>
      <c r="AK440" s="7"/>
      <c r="AL440" s="7"/>
      <c r="AM440" s="7"/>
      <c r="AN440" s="7"/>
      <c r="AO440" s="7"/>
      <c r="AP440" s="7"/>
      <c r="AQ440" s="7"/>
      <c r="AR440" s="7"/>
      <c r="AS440" s="7"/>
      <c r="AT440" s="7"/>
      <c r="AU440" s="7"/>
      <c r="AV440" s="7"/>
      <c r="AW440" s="7"/>
      <c r="AX440" s="7"/>
      <c r="AY440" s="7"/>
      <c r="AZ440" s="7"/>
      <c r="BA440" s="7"/>
      <c r="BB440" s="7"/>
      <c r="BC440" s="7"/>
      <c r="BD440" s="7"/>
      <c r="BE440" s="7"/>
      <c r="BF440" s="7"/>
      <c r="BG440" s="7"/>
    </row>
    <row r="441" spans="1:59">
      <c r="A441" s="7"/>
      <c r="B441" s="7"/>
      <c r="C441" s="7"/>
      <c r="D441" s="7"/>
      <c r="E441" s="7"/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  <c r="AA441" s="7"/>
      <c r="AB441" s="7"/>
      <c r="AC441" s="7"/>
      <c r="AD441" s="7"/>
      <c r="AE441" s="7"/>
      <c r="AF441" s="7"/>
      <c r="AG441" s="7"/>
      <c r="AH441" s="7"/>
      <c r="AI441" s="7"/>
      <c r="AJ441" s="7"/>
      <c r="AK441" s="7"/>
      <c r="AL441" s="7"/>
      <c r="AM441" s="7"/>
      <c r="AN441" s="7"/>
      <c r="AO441" s="7"/>
      <c r="AP441" s="7"/>
      <c r="AQ441" s="7"/>
      <c r="AR441" s="7"/>
      <c r="AS441" s="7"/>
      <c r="AT441" s="7"/>
      <c r="AU441" s="7"/>
      <c r="AV441" s="7"/>
      <c r="AW441" s="7"/>
      <c r="AX441" s="7"/>
      <c r="AY441" s="7"/>
      <c r="AZ441" s="7"/>
      <c r="BA441" s="7"/>
      <c r="BB441" s="7"/>
      <c r="BC441" s="7"/>
      <c r="BD441" s="7"/>
      <c r="BE441" s="7"/>
      <c r="BF441" s="7"/>
      <c r="BG441" s="7"/>
    </row>
    <row r="442" spans="1:59">
      <c r="A442" s="7"/>
      <c r="B442" s="7"/>
      <c r="C442" s="7"/>
      <c r="D442" s="7"/>
      <c r="E442" s="7"/>
      <c r="F442" s="7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  <c r="AA442" s="7"/>
      <c r="AB442" s="7"/>
      <c r="AC442" s="7"/>
      <c r="AD442" s="7"/>
      <c r="AE442" s="7"/>
      <c r="AF442" s="7"/>
      <c r="AG442" s="7"/>
      <c r="AH442" s="7"/>
      <c r="AI442" s="7"/>
      <c r="AJ442" s="7"/>
      <c r="AK442" s="7"/>
      <c r="AL442" s="7"/>
      <c r="AM442" s="7"/>
      <c r="AN442" s="7"/>
      <c r="AO442" s="7"/>
      <c r="AP442" s="7"/>
      <c r="AQ442" s="7"/>
      <c r="AR442" s="7"/>
      <c r="AS442" s="7"/>
      <c r="AT442" s="7"/>
      <c r="AU442" s="7"/>
      <c r="AV442" s="7"/>
      <c r="AW442" s="7"/>
      <c r="AX442" s="7"/>
      <c r="AY442" s="7"/>
      <c r="AZ442" s="7"/>
      <c r="BA442" s="7"/>
      <c r="BB442" s="7"/>
      <c r="BC442" s="7"/>
      <c r="BD442" s="7"/>
      <c r="BE442" s="7"/>
      <c r="BF442" s="7"/>
      <c r="BG442" s="7"/>
    </row>
    <row r="443" spans="1:59">
      <c r="A443" s="7"/>
      <c r="B443" s="7"/>
      <c r="C443" s="7"/>
      <c r="D443" s="7"/>
      <c r="E443" s="7"/>
      <c r="F443" s="7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  <c r="AA443" s="7"/>
      <c r="AB443" s="7"/>
      <c r="AC443" s="7"/>
      <c r="AD443" s="7"/>
      <c r="AE443" s="7"/>
      <c r="AF443" s="7"/>
      <c r="AG443" s="7"/>
      <c r="AH443" s="7"/>
      <c r="AI443" s="7"/>
      <c r="AJ443" s="7"/>
      <c r="AK443" s="7"/>
      <c r="AL443" s="7"/>
      <c r="AM443" s="7"/>
      <c r="AN443" s="7"/>
      <c r="AO443" s="7"/>
      <c r="AP443" s="7"/>
      <c r="AQ443" s="7"/>
      <c r="AR443" s="7"/>
      <c r="AS443" s="7"/>
      <c r="AT443" s="7"/>
      <c r="AU443" s="7"/>
      <c r="AV443" s="7"/>
      <c r="AW443" s="7"/>
      <c r="AX443" s="7"/>
      <c r="AY443" s="7"/>
      <c r="AZ443" s="7"/>
      <c r="BA443" s="7"/>
      <c r="BB443" s="7"/>
      <c r="BC443" s="7"/>
      <c r="BD443" s="7"/>
      <c r="BE443" s="7"/>
      <c r="BF443" s="7"/>
      <c r="BG443" s="7"/>
    </row>
    <row r="444" spans="1:59">
      <c r="A444" s="7"/>
      <c r="B444" s="7"/>
      <c r="C444" s="7"/>
      <c r="D444" s="7"/>
      <c r="E444" s="7"/>
      <c r="F444" s="7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  <c r="AA444" s="7"/>
      <c r="AB444" s="7"/>
      <c r="AC444" s="7"/>
      <c r="AD444" s="7"/>
      <c r="AE444" s="7"/>
      <c r="AF444" s="7"/>
      <c r="AG444" s="7"/>
      <c r="AH444" s="7"/>
      <c r="AI444" s="7"/>
      <c r="AJ444" s="7"/>
      <c r="AK444" s="7"/>
      <c r="AL444" s="7"/>
      <c r="AM444" s="7"/>
      <c r="AN444" s="7"/>
      <c r="AO444" s="7"/>
      <c r="AP444" s="7"/>
      <c r="AQ444" s="7"/>
      <c r="AR444" s="7"/>
      <c r="AS444" s="7"/>
      <c r="AT444" s="7"/>
      <c r="AU444" s="7"/>
      <c r="AV444" s="7"/>
      <c r="AW444" s="7"/>
      <c r="AX444" s="7"/>
      <c r="AY444" s="7"/>
      <c r="AZ444" s="7"/>
      <c r="BA444" s="7"/>
      <c r="BB444" s="7"/>
      <c r="BC444" s="7"/>
      <c r="BD444" s="7"/>
      <c r="BE444" s="7"/>
      <c r="BF444" s="7"/>
      <c r="BG444" s="7"/>
    </row>
    <row r="445" spans="1:59">
      <c r="A445" s="7"/>
      <c r="B445" s="7"/>
      <c r="C445" s="7"/>
      <c r="D445" s="7"/>
      <c r="E445" s="7"/>
      <c r="F445" s="7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  <c r="AA445" s="7"/>
      <c r="AB445" s="7"/>
      <c r="AC445" s="7"/>
      <c r="AD445" s="7"/>
      <c r="AE445" s="7"/>
      <c r="AF445" s="7"/>
      <c r="AG445" s="7"/>
      <c r="AH445" s="7"/>
      <c r="AI445" s="7"/>
      <c r="AJ445" s="7"/>
      <c r="AK445" s="7"/>
      <c r="AL445" s="7"/>
      <c r="AM445" s="7"/>
      <c r="AN445" s="7"/>
      <c r="AO445" s="7"/>
      <c r="AP445" s="7"/>
      <c r="AQ445" s="7"/>
      <c r="AR445" s="7"/>
      <c r="AS445" s="7"/>
      <c r="AT445" s="7"/>
      <c r="AU445" s="7"/>
      <c r="AV445" s="7"/>
      <c r="AW445" s="7"/>
      <c r="AX445" s="7"/>
      <c r="AY445" s="7"/>
      <c r="AZ445" s="7"/>
      <c r="BA445" s="7"/>
      <c r="BB445" s="7"/>
      <c r="BC445" s="7"/>
      <c r="BD445" s="7"/>
      <c r="BE445" s="7"/>
      <c r="BF445" s="7"/>
      <c r="BG445" s="7"/>
    </row>
    <row r="446" spans="1:59">
      <c r="A446" s="7"/>
      <c r="B446" s="7"/>
      <c r="C446" s="7"/>
      <c r="D446" s="7"/>
      <c r="E446" s="7"/>
      <c r="F446" s="7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  <c r="AA446" s="7"/>
      <c r="AB446" s="7"/>
      <c r="AC446" s="7"/>
      <c r="AD446" s="7"/>
      <c r="AE446" s="7"/>
      <c r="AF446" s="7"/>
      <c r="AG446" s="7"/>
      <c r="AH446" s="7"/>
      <c r="AI446" s="7"/>
      <c r="AJ446" s="7"/>
      <c r="AK446" s="7"/>
      <c r="AL446" s="7"/>
      <c r="AM446" s="7"/>
      <c r="AN446" s="7"/>
      <c r="AO446" s="7"/>
      <c r="AP446" s="7"/>
      <c r="AQ446" s="7"/>
      <c r="AR446" s="7"/>
      <c r="AS446" s="7"/>
      <c r="AT446" s="7"/>
      <c r="AU446" s="7"/>
      <c r="AV446" s="7"/>
      <c r="AW446" s="7"/>
      <c r="AX446" s="7"/>
      <c r="AY446" s="7"/>
      <c r="AZ446" s="7"/>
      <c r="BA446" s="7"/>
      <c r="BB446" s="7"/>
      <c r="BC446" s="7"/>
      <c r="BD446" s="7"/>
      <c r="BE446" s="7"/>
      <c r="BF446" s="7"/>
      <c r="BG446" s="7"/>
    </row>
    <row r="447" spans="1:59">
      <c r="A447" s="7"/>
      <c r="B447" s="7"/>
      <c r="C447" s="7"/>
      <c r="D447" s="7"/>
      <c r="E447" s="7"/>
      <c r="F447" s="7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  <c r="AA447" s="7"/>
      <c r="AB447" s="7"/>
      <c r="AC447" s="7"/>
      <c r="AD447" s="7"/>
      <c r="AE447" s="7"/>
      <c r="AF447" s="7"/>
      <c r="AG447" s="7"/>
      <c r="AH447" s="7"/>
      <c r="AI447" s="7"/>
      <c r="AJ447" s="7"/>
      <c r="AK447" s="7"/>
      <c r="AL447" s="7"/>
      <c r="AM447" s="7"/>
      <c r="AN447" s="7"/>
      <c r="AO447" s="7"/>
      <c r="AP447" s="7"/>
      <c r="AQ447" s="7"/>
      <c r="AR447" s="7"/>
      <c r="AS447" s="7"/>
      <c r="AT447" s="7"/>
      <c r="AU447" s="7"/>
      <c r="AV447" s="7"/>
      <c r="AW447" s="7"/>
      <c r="AX447" s="7"/>
      <c r="AY447" s="7"/>
      <c r="AZ447" s="7"/>
      <c r="BA447" s="7"/>
      <c r="BB447" s="7"/>
      <c r="BC447" s="7"/>
      <c r="BD447" s="7"/>
      <c r="BE447" s="7"/>
      <c r="BF447" s="7"/>
      <c r="BG447" s="7"/>
    </row>
    <row r="448" spans="1:59">
      <c r="A448" s="7"/>
      <c r="B448" s="7"/>
      <c r="C448" s="7"/>
      <c r="D448" s="7"/>
      <c r="E448" s="7"/>
      <c r="F448" s="7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  <c r="AA448" s="7"/>
      <c r="AB448" s="7"/>
      <c r="AC448" s="7"/>
      <c r="AD448" s="7"/>
      <c r="AE448" s="7"/>
      <c r="AF448" s="7"/>
      <c r="AG448" s="7"/>
      <c r="AH448" s="7"/>
      <c r="AI448" s="7"/>
      <c r="AJ448" s="7"/>
      <c r="AK448" s="7"/>
      <c r="AL448" s="7"/>
      <c r="AM448" s="7"/>
      <c r="AN448" s="7"/>
      <c r="AO448" s="7"/>
      <c r="AP448" s="7"/>
      <c r="AQ448" s="7"/>
      <c r="AR448" s="7"/>
      <c r="AS448" s="7"/>
      <c r="AT448" s="7"/>
      <c r="AU448" s="7"/>
      <c r="AV448" s="7"/>
      <c r="AW448" s="7"/>
      <c r="AX448" s="7"/>
      <c r="AY448" s="7"/>
      <c r="AZ448" s="7"/>
      <c r="BA448" s="7"/>
      <c r="BB448" s="7"/>
      <c r="BC448" s="7"/>
      <c r="BD448" s="7"/>
      <c r="BE448" s="7"/>
      <c r="BF448" s="7"/>
      <c r="BG448" s="7"/>
    </row>
    <row r="449" spans="1:59">
      <c r="A449" s="7"/>
      <c r="B449" s="7"/>
      <c r="C449" s="7"/>
      <c r="D449" s="7"/>
      <c r="E449" s="7"/>
      <c r="F449" s="7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  <c r="AA449" s="7"/>
      <c r="AB449" s="7"/>
      <c r="AC449" s="7"/>
      <c r="AD449" s="7"/>
      <c r="AE449" s="7"/>
      <c r="AF449" s="7"/>
      <c r="AG449" s="7"/>
      <c r="AH449" s="7"/>
      <c r="AI449" s="7"/>
      <c r="AJ449" s="7"/>
      <c r="AK449" s="7"/>
      <c r="AL449" s="7"/>
      <c r="AM449" s="7"/>
      <c r="AN449" s="7"/>
      <c r="AO449" s="7"/>
      <c r="AP449" s="7"/>
      <c r="AQ449" s="7"/>
      <c r="AR449" s="7"/>
      <c r="AS449" s="7"/>
      <c r="AT449" s="7"/>
      <c r="AU449" s="7"/>
      <c r="AV449" s="7"/>
      <c r="AW449" s="7"/>
      <c r="AX449" s="7"/>
      <c r="AY449" s="7"/>
      <c r="AZ449" s="7"/>
      <c r="BA449" s="7"/>
      <c r="BB449" s="7"/>
      <c r="BC449" s="7"/>
      <c r="BD449" s="7"/>
      <c r="BE449" s="7"/>
      <c r="BF449" s="7"/>
      <c r="BG449" s="7"/>
    </row>
    <row r="450" spans="1:59">
      <c r="A450" s="7"/>
      <c r="B450" s="7"/>
      <c r="C450" s="7"/>
      <c r="D450" s="7"/>
      <c r="E450" s="7"/>
      <c r="F450" s="7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  <c r="AA450" s="7"/>
      <c r="AB450" s="7"/>
      <c r="AC450" s="7"/>
      <c r="AD450" s="7"/>
      <c r="AE450" s="7"/>
      <c r="AF450" s="7"/>
      <c r="AG450" s="7"/>
      <c r="AH450" s="7"/>
      <c r="AI450" s="7"/>
      <c r="AJ450" s="7"/>
      <c r="AK450" s="7"/>
      <c r="AL450" s="7"/>
      <c r="AM450" s="7"/>
      <c r="AN450" s="7"/>
      <c r="AO450" s="7"/>
      <c r="AP450" s="7"/>
      <c r="AQ450" s="7"/>
      <c r="AR450" s="7"/>
      <c r="AS450" s="7"/>
      <c r="AT450" s="7"/>
      <c r="AU450" s="7"/>
      <c r="AV450" s="7"/>
      <c r="AW450" s="7"/>
      <c r="AX450" s="7"/>
      <c r="AY450" s="7"/>
      <c r="AZ450" s="7"/>
      <c r="BA450" s="7"/>
      <c r="BB450" s="7"/>
      <c r="BC450" s="7"/>
      <c r="BD450" s="7"/>
      <c r="BE450" s="7"/>
      <c r="BF450" s="7"/>
      <c r="BG450" s="7"/>
    </row>
    <row r="451" spans="1:59">
      <c r="A451" s="7"/>
      <c r="B451" s="7"/>
      <c r="C451" s="7"/>
      <c r="D451" s="7"/>
      <c r="E451" s="7"/>
      <c r="F451" s="7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  <c r="AA451" s="7"/>
      <c r="AB451" s="7"/>
      <c r="AC451" s="7"/>
      <c r="AD451" s="7"/>
      <c r="AE451" s="7"/>
      <c r="AF451" s="7"/>
      <c r="AG451" s="7"/>
      <c r="AH451" s="7"/>
      <c r="AI451" s="7"/>
      <c r="AJ451" s="7"/>
      <c r="AK451" s="7"/>
      <c r="AL451" s="7"/>
      <c r="AM451" s="7"/>
      <c r="AN451" s="7"/>
      <c r="AO451" s="7"/>
      <c r="AP451" s="7"/>
      <c r="AQ451" s="7"/>
      <c r="AR451" s="7"/>
      <c r="AS451" s="7"/>
      <c r="AT451" s="7"/>
      <c r="AU451" s="7"/>
      <c r="AV451" s="7"/>
      <c r="AW451" s="7"/>
      <c r="AX451" s="7"/>
      <c r="AY451" s="7"/>
      <c r="AZ451" s="7"/>
      <c r="BA451" s="7"/>
      <c r="BB451" s="7"/>
      <c r="BC451" s="7"/>
      <c r="BD451" s="7"/>
      <c r="BE451" s="7"/>
      <c r="BF451" s="7"/>
      <c r="BG451" s="7"/>
    </row>
    <row r="452" spans="1:59">
      <c r="A452" s="7"/>
      <c r="B452" s="7"/>
      <c r="C452" s="7"/>
      <c r="D452" s="7"/>
      <c r="E452" s="7"/>
      <c r="F452" s="7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  <c r="AA452" s="7"/>
      <c r="AB452" s="7"/>
      <c r="AC452" s="7"/>
      <c r="AD452" s="7"/>
      <c r="AE452" s="7"/>
      <c r="AF452" s="7"/>
      <c r="AG452" s="7"/>
      <c r="AH452" s="7"/>
      <c r="AI452" s="7"/>
      <c r="AJ452" s="7"/>
      <c r="AK452" s="7"/>
      <c r="AL452" s="7"/>
      <c r="AM452" s="7"/>
      <c r="AN452" s="7"/>
      <c r="AO452" s="7"/>
      <c r="AP452" s="7"/>
      <c r="AQ452" s="7"/>
      <c r="AR452" s="7"/>
      <c r="AS452" s="7"/>
      <c r="AT452" s="7"/>
      <c r="AU452" s="7"/>
      <c r="AV452" s="7"/>
      <c r="AW452" s="7"/>
      <c r="AX452" s="7"/>
      <c r="AY452" s="7"/>
      <c r="AZ452" s="7"/>
      <c r="BA452" s="7"/>
      <c r="BB452" s="7"/>
      <c r="BC452" s="7"/>
      <c r="BD452" s="7"/>
      <c r="BE452" s="7"/>
      <c r="BF452" s="7"/>
      <c r="BG452" s="7"/>
    </row>
    <row r="453" spans="1:59">
      <c r="A453" s="7"/>
      <c r="B453" s="7"/>
      <c r="C453" s="7"/>
      <c r="D453" s="7"/>
      <c r="E453" s="7"/>
      <c r="F453" s="7"/>
      <c r="G453" s="7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  <c r="AA453" s="7"/>
      <c r="AB453" s="7"/>
      <c r="AC453" s="7"/>
      <c r="AD453" s="7"/>
      <c r="AE453" s="7"/>
      <c r="AF453" s="7"/>
      <c r="AG453" s="7"/>
      <c r="AH453" s="7"/>
      <c r="AI453" s="7"/>
      <c r="AJ453" s="7"/>
      <c r="AK453" s="7"/>
      <c r="AL453" s="7"/>
      <c r="AM453" s="7"/>
      <c r="AN453" s="7"/>
      <c r="AO453" s="7"/>
      <c r="AP453" s="7"/>
      <c r="AQ453" s="7"/>
      <c r="AR453" s="7"/>
      <c r="AS453" s="7"/>
      <c r="AT453" s="7"/>
      <c r="AU453" s="7"/>
      <c r="AV453" s="7"/>
      <c r="AW453" s="7"/>
      <c r="AX453" s="7"/>
      <c r="AY453" s="7"/>
      <c r="AZ453" s="7"/>
      <c r="BA453" s="7"/>
      <c r="BB453" s="7"/>
      <c r="BC453" s="7"/>
      <c r="BD453" s="7"/>
      <c r="BE453" s="7"/>
      <c r="BF453" s="7"/>
      <c r="BG453" s="7"/>
    </row>
    <row r="454" spans="1:59">
      <c r="A454" s="7"/>
      <c r="B454" s="7"/>
      <c r="C454" s="7"/>
      <c r="D454" s="7"/>
      <c r="E454" s="7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  <c r="AA454" s="7"/>
      <c r="AB454" s="7"/>
      <c r="AC454" s="7"/>
      <c r="AD454" s="7"/>
      <c r="AE454" s="7"/>
      <c r="AF454" s="7"/>
      <c r="AG454" s="7"/>
      <c r="AH454" s="7"/>
      <c r="AI454" s="7"/>
      <c r="AJ454" s="7"/>
      <c r="AK454" s="7"/>
      <c r="AL454" s="7"/>
      <c r="AM454" s="7"/>
      <c r="AN454" s="7"/>
      <c r="AO454" s="7"/>
      <c r="AP454" s="7"/>
      <c r="AQ454" s="7"/>
      <c r="AR454" s="7"/>
      <c r="AS454" s="7"/>
      <c r="AT454" s="7"/>
      <c r="AU454" s="7"/>
      <c r="AV454" s="7"/>
      <c r="AW454" s="7"/>
      <c r="AX454" s="7"/>
      <c r="AY454" s="7"/>
      <c r="AZ454" s="7"/>
      <c r="BA454" s="7"/>
      <c r="BB454" s="7"/>
      <c r="BC454" s="7"/>
      <c r="BD454" s="7"/>
      <c r="BE454" s="7"/>
      <c r="BF454" s="7"/>
      <c r="BG454" s="7"/>
    </row>
    <row r="455" spans="1:59">
      <c r="A455" s="7"/>
      <c r="B455" s="7"/>
      <c r="C455" s="7"/>
      <c r="D455" s="7"/>
      <c r="E455" s="7"/>
      <c r="F455" s="7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  <c r="AA455" s="7"/>
      <c r="AB455" s="7"/>
      <c r="AC455" s="7"/>
      <c r="AD455" s="7"/>
      <c r="AE455" s="7"/>
      <c r="AF455" s="7"/>
      <c r="AG455" s="7"/>
      <c r="AH455" s="7"/>
      <c r="AI455" s="7"/>
      <c r="AJ455" s="7"/>
      <c r="AK455" s="7"/>
      <c r="AL455" s="7"/>
      <c r="AM455" s="7"/>
      <c r="AN455" s="7"/>
      <c r="AO455" s="7"/>
      <c r="AP455" s="7"/>
      <c r="AQ455" s="7"/>
      <c r="AR455" s="7"/>
      <c r="AS455" s="7"/>
      <c r="AT455" s="7"/>
      <c r="AU455" s="7"/>
      <c r="AV455" s="7"/>
      <c r="AW455" s="7"/>
      <c r="AX455" s="7"/>
      <c r="AY455" s="7"/>
      <c r="AZ455" s="7"/>
      <c r="BA455" s="7"/>
      <c r="BB455" s="7"/>
      <c r="BC455" s="7"/>
      <c r="BD455" s="7"/>
      <c r="BE455" s="7"/>
      <c r="BF455" s="7"/>
      <c r="BG455" s="7"/>
    </row>
    <row r="456" spans="1:59">
      <c r="A456" s="7"/>
      <c r="B456" s="7"/>
      <c r="C456" s="7"/>
      <c r="D456" s="7"/>
      <c r="E456" s="7"/>
      <c r="F456" s="7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  <c r="AA456" s="7"/>
      <c r="AB456" s="7"/>
      <c r="AC456" s="7"/>
      <c r="AD456" s="7"/>
      <c r="AE456" s="7"/>
      <c r="AF456" s="7"/>
      <c r="AG456" s="7"/>
      <c r="AH456" s="7"/>
      <c r="AI456" s="7"/>
      <c r="AJ456" s="7"/>
      <c r="AK456" s="7"/>
      <c r="AL456" s="7"/>
      <c r="AM456" s="7"/>
      <c r="AN456" s="7"/>
      <c r="AO456" s="7"/>
      <c r="AP456" s="7"/>
      <c r="AQ456" s="7"/>
      <c r="AR456" s="7"/>
      <c r="AS456" s="7"/>
      <c r="AT456" s="7"/>
      <c r="AU456" s="7"/>
      <c r="AV456" s="7"/>
      <c r="AW456" s="7"/>
      <c r="AX456" s="7"/>
      <c r="AY456" s="7"/>
      <c r="AZ456" s="7"/>
      <c r="BA456" s="7"/>
      <c r="BB456" s="7"/>
      <c r="BC456" s="7"/>
      <c r="BD456" s="7"/>
      <c r="BE456" s="7"/>
      <c r="BF456" s="7"/>
      <c r="BG456" s="7"/>
    </row>
    <row r="457" spans="1:59">
      <c r="A457" s="7"/>
      <c r="B457" s="7"/>
      <c r="C457" s="7"/>
      <c r="D457" s="7"/>
      <c r="E457" s="7"/>
      <c r="F457" s="7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  <c r="AA457" s="7"/>
      <c r="AB457" s="7"/>
      <c r="AC457" s="7"/>
      <c r="AD457" s="7"/>
      <c r="AE457" s="7"/>
      <c r="AF457" s="7"/>
      <c r="AG457" s="7"/>
      <c r="AH457" s="7"/>
      <c r="AI457" s="7"/>
      <c r="AJ457" s="7"/>
      <c r="AK457" s="7"/>
      <c r="AL457" s="7"/>
      <c r="AM457" s="7"/>
      <c r="AN457" s="7"/>
      <c r="AO457" s="7"/>
      <c r="AP457" s="7"/>
      <c r="AQ457" s="7"/>
      <c r="AR457" s="7"/>
      <c r="AS457" s="7"/>
      <c r="AT457" s="7"/>
      <c r="AU457" s="7"/>
      <c r="AV457" s="7"/>
      <c r="AW457" s="7"/>
      <c r="AX457" s="7"/>
      <c r="AY457" s="7"/>
      <c r="AZ457" s="7"/>
      <c r="BA457" s="7"/>
      <c r="BB457" s="7"/>
      <c r="BC457" s="7"/>
      <c r="BD457" s="7"/>
      <c r="BE457" s="7"/>
      <c r="BF457" s="7"/>
      <c r="BG457" s="7"/>
    </row>
    <row r="458" spans="1:59">
      <c r="A458" s="7"/>
      <c r="B458" s="7"/>
      <c r="C458" s="7"/>
      <c r="D458" s="7"/>
      <c r="E458" s="7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  <c r="AA458" s="7"/>
      <c r="AB458" s="7"/>
      <c r="AC458" s="7"/>
      <c r="AD458" s="7"/>
      <c r="AE458" s="7"/>
      <c r="AF458" s="7"/>
      <c r="AG458" s="7"/>
      <c r="AH458" s="7"/>
      <c r="AI458" s="7"/>
      <c r="AJ458" s="7"/>
      <c r="AK458" s="7"/>
      <c r="AL458" s="7"/>
      <c r="AM458" s="7"/>
      <c r="AN458" s="7"/>
      <c r="AO458" s="7"/>
      <c r="AP458" s="7"/>
      <c r="AQ458" s="7"/>
      <c r="AR458" s="7"/>
      <c r="AS458" s="7"/>
      <c r="AT458" s="7"/>
      <c r="AU458" s="7"/>
      <c r="AV458" s="7"/>
      <c r="AW458" s="7"/>
      <c r="AX458" s="7"/>
      <c r="AY458" s="7"/>
      <c r="AZ458" s="7"/>
      <c r="BA458" s="7"/>
      <c r="BB458" s="7"/>
      <c r="BC458" s="7"/>
      <c r="BD458" s="7"/>
      <c r="BE458" s="7"/>
      <c r="BF458" s="7"/>
      <c r="BG458" s="7"/>
    </row>
    <row r="459" spans="1:59">
      <c r="A459" s="7"/>
      <c r="B459" s="7"/>
      <c r="C459" s="7"/>
      <c r="D459" s="7"/>
      <c r="E459" s="7"/>
      <c r="F459" s="7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  <c r="AA459" s="7"/>
      <c r="AB459" s="7"/>
      <c r="AC459" s="7"/>
      <c r="AD459" s="7"/>
      <c r="AE459" s="7"/>
      <c r="AF459" s="7"/>
      <c r="AG459" s="7"/>
      <c r="AH459" s="7"/>
      <c r="AI459" s="7"/>
      <c r="AJ459" s="7"/>
      <c r="AK459" s="7"/>
      <c r="AL459" s="7"/>
      <c r="AM459" s="7"/>
      <c r="AN459" s="7"/>
      <c r="AO459" s="7"/>
      <c r="AP459" s="7"/>
      <c r="AQ459" s="7"/>
      <c r="AR459" s="7"/>
      <c r="AS459" s="7"/>
      <c r="AT459" s="7"/>
      <c r="AU459" s="7"/>
      <c r="AV459" s="7"/>
      <c r="AW459" s="7"/>
      <c r="AX459" s="7"/>
      <c r="AY459" s="7"/>
      <c r="AZ459" s="7"/>
      <c r="BA459" s="7"/>
      <c r="BB459" s="7"/>
      <c r="BC459" s="7"/>
      <c r="BD459" s="7"/>
      <c r="BE459" s="7"/>
      <c r="BF459" s="7"/>
      <c r="BG459" s="7"/>
    </row>
    <row r="460" spans="1:59">
      <c r="A460" s="7"/>
      <c r="B460" s="7"/>
      <c r="C460" s="7"/>
      <c r="D460" s="7"/>
      <c r="E460" s="7"/>
      <c r="F460" s="7"/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  <c r="AA460" s="7"/>
      <c r="AB460" s="7"/>
      <c r="AC460" s="7"/>
      <c r="AD460" s="7"/>
      <c r="AE460" s="7"/>
      <c r="AF460" s="7"/>
      <c r="AG460" s="7"/>
      <c r="AH460" s="7"/>
      <c r="AI460" s="7"/>
      <c r="AJ460" s="7"/>
      <c r="AK460" s="7"/>
      <c r="AL460" s="7"/>
      <c r="AM460" s="7"/>
      <c r="AN460" s="7"/>
      <c r="AO460" s="7"/>
      <c r="AP460" s="7"/>
      <c r="AQ460" s="7"/>
      <c r="AR460" s="7"/>
      <c r="AS460" s="7"/>
      <c r="AT460" s="7"/>
      <c r="AU460" s="7"/>
      <c r="AV460" s="7"/>
      <c r="AW460" s="7"/>
      <c r="AX460" s="7"/>
      <c r="AY460" s="7"/>
      <c r="AZ460" s="7"/>
      <c r="BA460" s="7"/>
      <c r="BB460" s="7"/>
      <c r="BC460" s="7"/>
      <c r="BD460" s="7"/>
      <c r="BE460" s="7"/>
      <c r="BF460" s="7"/>
      <c r="BG460" s="7"/>
    </row>
    <row r="461" spans="1:59">
      <c r="A461" s="7"/>
      <c r="B461" s="7"/>
      <c r="C461" s="7"/>
      <c r="D461" s="7"/>
      <c r="E461" s="7"/>
      <c r="F461" s="7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  <c r="AA461" s="7"/>
      <c r="AB461" s="7"/>
      <c r="AC461" s="7"/>
      <c r="AD461" s="7"/>
      <c r="AE461" s="7"/>
      <c r="AF461" s="7"/>
      <c r="AG461" s="7"/>
      <c r="AH461" s="7"/>
      <c r="AI461" s="7"/>
      <c r="AJ461" s="7"/>
      <c r="AK461" s="7"/>
      <c r="AL461" s="7"/>
      <c r="AM461" s="7"/>
      <c r="AN461" s="7"/>
      <c r="AO461" s="7"/>
      <c r="AP461" s="7"/>
      <c r="AQ461" s="7"/>
      <c r="AR461" s="7"/>
      <c r="AS461" s="7"/>
      <c r="AT461" s="7"/>
      <c r="AU461" s="7"/>
      <c r="AV461" s="7"/>
      <c r="AW461" s="7"/>
      <c r="AX461" s="7"/>
      <c r="AY461" s="7"/>
      <c r="AZ461" s="7"/>
      <c r="BA461" s="7"/>
      <c r="BB461" s="7"/>
      <c r="BC461" s="7"/>
      <c r="BD461" s="7"/>
      <c r="BE461" s="7"/>
      <c r="BF461" s="7"/>
      <c r="BG461" s="7"/>
    </row>
    <row r="462" spans="1:59">
      <c r="A462" s="7"/>
      <c r="B462" s="7"/>
      <c r="C462" s="7"/>
      <c r="D462" s="7"/>
      <c r="E462" s="7"/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  <c r="AA462" s="7"/>
      <c r="AB462" s="7"/>
      <c r="AC462" s="7"/>
      <c r="AD462" s="7"/>
      <c r="AE462" s="7"/>
      <c r="AF462" s="7"/>
      <c r="AG462" s="7"/>
      <c r="AH462" s="7"/>
      <c r="AI462" s="7"/>
      <c r="AJ462" s="7"/>
      <c r="AK462" s="7"/>
      <c r="AL462" s="7"/>
      <c r="AM462" s="7"/>
      <c r="AN462" s="7"/>
      <c r="AO462" s="7"/>
      <c r="AP462" s="7"/>
      <c r="AQ462" s="7"/>
      <c r="AR462" s="7"/>
      <c r="AS462" s="7"/>
      <c r="AT462" s="7"/>
      <c r="AU462" s="7"/>
      <c r="AV462" s="7"/>
      <c r="AW462" s="7"/>
      <c r="AX462" s="7"/>
      <c r="AY462" s="7"/>
      <c r="AZ462" s="7"/>
      <c r="BA462" s="7"/>
      <c r="BB462" s="7"/>
      <c r="BC462" s="7"/>
      <c r="BD462" s="7"/>
      <c r="BE462" s="7"/>
      <c r="BF462" s="7"/>
      <c r="BG462" s="7"/>
    </row>
    <row r="463" spans="1:59">
      <c r="A463" s="7"/>
      <c r="B463" s="7"/>
      <c r="C463" s="7"/>
      <c r="D463" s="7"/>
      <c r="E463" s="7"/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  <c r="AA463" s="7"/>
      <c r="AB463" s="7"/>
      <c r="AC463" s="7"/>
      <c r="AD463" s="7"/>
      <c r="AE463" s="7"/>
      <c r="AF463" s="7"/>
      <c r="AG463" s="7"/>
      <c r="AH463" s="7"/>
      <c r="AI463" s="7"/>
      <c r="AJ463" s="7"/>
      <c r="AK463" s="7"/>
      <c r="AL463" s="7"/>
      <c r="AM463" s="7"/>
      <c r="AN463" s="7"/>
      <c r="AO463" s="7"/>
      <c r="AP463" s="7"/>
      <c r="AQ463" s="7"/>
      <c r="AR463" s="7"/>
      <c r="AS463" s="7"/>
      <c r="AT463" s="7"/>
      <c r="AU463" s="7"/>
      <c r="AV463" s="7"/>
      <c r="AW463" s="7"/>
      <c r="AX463" s="7"/>
      <c r="AY463" s="7"/>
      <c r="AZ463" s="7"/>
      <c r="BA463" s="7"/>
      <c r="BB463" s="7"/>
      <c r="BC463" s="7"/>
      <c r="BD463" s="7"/>
      <c r="BE463" s="7"/>
      <c r="BF463" s="7"/>
      <c r="BG463" s="7"/>
    </row>
    <row r="464" spans="1:59">
      <c r="A464" s="7"/>
      <c r="B464" s="7"/>
      <c r="C464" s="7"/>
      <c r="D464" s="7"/>
      <c r="E464" s="7"/>
      <c r="F464" s="7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  <c r="AA464" s="7"/>
      <c r="AB464" s="7"/>
      <c r="AC464" s="7"/>
      <c r="AD464" s="7"/>
      <c r="AE464" s="7"/>
      <c r="AF464" s="7"/>
      <c r="AG464" s="7"/>
      <c r="AH464" s="7"/>
      <c r="AI464" s="7"/>
      <c r="AJ464" s="7"/>
      <c r="AK464" s="7"/>
      <c r="AL464" s="7"/>
      <c r="AM464" s="7"/>
      <c r="AN464" s="7"/>
      <c r="AO464" s="7"/>
      <c r="AP464" s="7"/>
      <c r="AQ464" s="7"/>
      <c r="AR464" s="7"/>
      <c r="AS464" s="7"/>
      <c r="AT464" s="7"/>
      <c r="AU464" s="7"/>
      <c r="AV464" s="7"/>
      <c r="AW464" s="7"/>
      <c r="AX464" s="7"/>
      <c r="AY464" s="7"/>
      <c r="AZ464" s="7"/>
      <c r="BA464" s="7"/>
      <c r="BB464" s="7"/>
      <c r="BC464" s="7"/>
      <c r="BD464" s="7"/>
      <c r="BE464" s="7"/>
      <c r="BF464" s="7"/>
      <c r="BG464" s="7"/>
    </row>
    <row r="465" spans="1:59">
      <c r="A465" s="7"/>
      <c r="B465" s="7"/>
      <c r="C465" s="7"/>
      <c r="D465" s="7"/>
      <c r="E465" s="7"/>
      <c r="F465" s="7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  <c r="AA465" s="7"/>
      <c r="AB465" s="7"/>
      <c r="AC465" s="7"/>
      <c r="AD465" s="7"/>
      <c r="AE465" s="7"/>
      <c r="AF465" s="7"/>
      <c r="AG465" s="7"/>
      <c r="AH465" s="7"/>
      <c r="AI465" s="7"/>
      <c r="AJ465" s="7"/>
      <c r="AK465" s="7"/>
      <c r="AL465" s="7"/>
      <c r="AM465" s="7"/>
      <c r="AN465" s="7"/>
      <c r="AO465" s="7"/>
      <c r="AP465" s="7"/>
      <c r="AQ465" s="7"/>
      <c r="AR465" s="7"/>
      <c r="AS465" s="7"/>
      <c r="AT465" s="7"/>
      <c r="AU465" s="7"/>
      <c r="AV465" s="7"/>
      <c r="AW465" s="7"/>
      <c r="AX465" s="7"/>
      <c r="AY465" s="7"/>
      <c r="AZ465" s="7"/>
      <c r="BA465" s="7"/>
      <c r="BB465" s="7"/>
      <c r="BC465" s="7"/>
      <c r="BD465" s="7"/>
      <c r="BE465" s="7"/>
      <c r="BF465" s="7"/>
      <c r="BG465" s="7"/>
    </row>
    <row r="466" spans="1:59">
      <c r="A466" s="7"/>
      <c r="B466" s="7"/>
      <c r="C466" s="7"/>
      <c r="D466" s="7"/>
      <c r="E466" s="7"/>
      <c r="F466" s="7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  <c r="AA466" s="7"/>
      <c r="AB466" s="7"/>
      <c r="AC466" s="7"/>
      <c r="AD466" s="7"/>
      <c r="AE466" s="7"/>
      <c r="AF466" s="7"/>
      <c r="AG466" s="7"/>
      <c r="AH466" s="7"/>
      <c r="AI466" s="7"/>
      <c r="AJ466" s="7"/>
      <c r="AK466" s="7"/>
      <c r="AL466" s="7"/>
      <c r="AM466" s="7"/>
      <c r="AN466" s="7"/>
      <c r="AO466" s="7"/>
      <c r="AP466" s="7"/>
      <c r="AQ466" s="7"/>
      <c r="AR466" s="7"/>
      <c r="AS466" s="7"/>
      <c r="AT466" s="7"/>
      <c r="AU466" s="7"/>
      <c r="AV466" s="7"/>
      <c r="AW466" s="7"/>
      <c r="AX466" s="7"/>
      <c r="AY466" s="7"/>
      <c r="AZ466" s="7"/>
      <c r="BA466" s="7"/>
      <c r="BB466" s="7"/>
      <c r="BC466" s="7"/>
      <c r="BD466" s="7"/>
      <c r="BE466" s="7"/>
      <c r="BF466" s="7"/>
      <c r="BG466" s="7"/>
    </row>
    <row r="467" spans="1:59">
      <c r="A467" s="7"/>
      <c r="B467" s="7"/>
      <c r="C467" s="7"/>
      <c r="D467" s="7"/>
      <c r="E467" s="7"/>
      <c r="F467" s="7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  <c r="AA467" s="7"/>
      <c r="AB467" s="7"/>
      <c r="AC467" s="7"/>
      <c r="AD467" s="7"/>
      <c r="AE467" s="7"/>
      <c r="AF467" s="7"/>
      <c r="AG467" s="7"/>
      <c r="AH467" s="7"/>
      <c r="AI467" s="7"/>
      <c r="AJ467" s="7"/>
      <c r="AK467" s="7"/>
      <c r="AL467" s="7"/>
      <c r="AM467" s="7"/>
      <c r="AN467" s="7"/>
      <c r="AO467" s="7"/>
      <c r="AP467" s="7"/>
      <c r="AQ467" s="7"/>
      <c r="AR467" s="7"/>
      <c r="AS467" s="7"/>
      <c r="AT467" s="7"/>
      <c r="AU467" s="7"/>
      <c r="AV467" s="7"/>
      <c r="AW467" s="7"/>
      <c r="AX467" s="7"/>
      <c r="AY467" s="7"/>
      <c r="AZ467" s="7"/>
      <c r="BA467" s="7"/>
      <c r="BB467" s="7"/>
      <c r="BC467" s="7"/>
      <c r="BD467" s="7"/>
      <c r="BE467" s="7"/>
      <c r="BF467" s="7"/>
      <c r="BG467" s="7"/>
    </row>
    <row r="468" spans="1:59">
      <c r="A468" s="7"/>
      <c r="B468" s="7"/>
      <c r="C468" s="7"/>
      <c r="D468" s="7"/>
      <c r="E468" s="7"/>
      <c r="F468" s="7"/>
      <c r="G468" s="7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  <c r="AA468" s="7"/>
      <c r="AB468" s="7"/>
      <c r="AC468" s="7"/>
      <c r="AD468" s="7"/>
      <c r="AE468" s="7"/>
      <c r="AF468" s="7"/>
      <c r="AG468" s="7"/>
      <c r="AH468" s="7"/>
      <c r="AI468" s="7"/>
      <c r="AJ468" s="7"/>
      <c r="AK468" s="7"/>
      <c r="AL468" s="7"/>
      <c r="AM468" s="7"/>
      <c r="AN468" s="7"/>
      <c r="AO468" s="7"/>
      <c r="AP468" s="7"/>
      <c r="AQ468" s="7"/>
      <c r="AR468" s="7"/>
      <c r="AS468" s="7"/>
      <c r="AT468" s="7"/>
      <c r="AU468" s="7"/>
      <c r="AV468" s="7"/>
      <c r="AW468" s="7"/>
      <c r="AX468" s="7"/>
      <c r="AY468" s="7"/>
      <c r="AZ468" s="7"/>
      <c r="BA468" s="7"/>
      <c r="BB468" s="7"/>
      <c r="BC468" s="7"/>
      <c r="BD468" s="7"/>
      <c r="BE468" s="7"/>
      <c r="BF468" s="7"/>
      <c r="BG468" s="7"/>
    </row>
    <row r="469" spans="1:59">
      <c r="A469" s="7"/>
      <c r="B469" s="7"/>
      <c r="C469" s="7"/>
      <c r="D469" s="7"/>
      <c r="E469" s="7"/>
      <c r="F469" s="7"/>
      <c r="G469" s="7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  <c r="AA469" s="7"/>
      <c r="AB469" s="7"/>
      <c r="AC469" s="7"/>
      <c r="AD469" s="7"/>
      <c r="AE469" s="7"/>
      <c r="AF469" s="7"/>
      <c r="AG469" s="7"/>
      <c r="AH469" s="7"/>
      <c r="AI469" s="7"/>
      <c r="AJ469" s="7"/>
      <c r="AK469" s="7"/>
      <c r="AL469" s="7"/>
      <c r="AM469" s="7"/>
      <c r="AN469" s="7"/>
      <c r="AO469" s="7"/>
      <c r="AP469" s="7"/>
      <c r="AQ469" s="7"/>
      <c r="AR469" s="7"/>
      <c r="AS469" s="7"/>
      <c r="AT469" s="7"/>
      <c r="AU469" s="7"/>
      <c r="AV469" s="7"/>
      <c r="AW469" s="7"/>
      <c r="AX469" s="7"/>
      <c r="AY469" s="7"/>
      <c r="AZ469" s="7"/>
      <c r="BA469" s="7"/>
      <c r="BB469" s="7"/>
      <c r="BC469" s="7"/>
      <c r="BD469" s="7"/>
      <c r="BE469" s="7"/>
      <c r="BF469" s="7"/>
      <c r="BG469" s="7"/>
    </row>
    <row r="470" spans="1:59">
      <c r="A470" s="7"/>
      <c r="B470" s="7"/>
      <c r="C470" s="7"/>
      <c r="D470" s="7"/>
      <c r="E470" s="7"/>
      <c r="F470" s="7"/>
      <c r="G470" s="7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  <c r="AA470" s="7"/>
      <c r="AB470" s="7"/>
      <c r="AC470" s="7"/>
      <c r="AD470" s="7"/>
      <c r="AE470" s="7"/>
      <c r="AF470" s="7"/>
      <c r="AG470" s="7"/>
      <c r="AH470" s="7"/>
      <c r="AI470" s="7"/>
      <c r="AJ470" s="7"/>
      <c r="AK470" s="7"/>
      <c r="AL470" s="7"/>
      <c r="AM470" s="7"/>
      <c r="AN470" s="7"/>
      <c r="AO470" s="7"/>
      <c r="AP470" s="7"/>
      <c r="AQ470" s="7"/>
      <c r="AR470" s="7"/>
      <c r="AS470" s="7"/>
      <c r="AT470" s="7"/>
      <c r="AU470" s="7"/>
      <c r="AV470" s="7"/>
      <c r="AW470" s="7"/>
      <c r="AX470" s="7"/>
      <c r="AY470" s="7"/>
      <c r="AZ470" s="7"/>
      <c r="BA470" s="7"/>
      <c r="BB470" s="7"/>
      <c r="BC470" s="7"/>
      <c r="BD470" s="7"/>
      <c r="BE470" s="7"/>
      <c r="BF470" s="7"/>
      <c r="BG470" s="7"/>
    </row>
    <row r="471" spans="1:59">
      <c r="A471" s="7"/>
      <c r="B471" s="7"/>
      <c r="C471" s="7"/>
      <c r="D471" s="7"/>
      <c r="E471" s="7"/>
      <c r="F471" s="7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  <c r="AA471" s="7"/>
      <c r="AB471" s="7"/>
      <c r="AC471" s="7"/>
      <c r="AD471" s="7"/>
      <c r="AE471" s="7"/>
      <c r="AF471" s="7"/>
      <c r="AG471" s="7"/>
      <c r="AH471" s="7"/>
      <c r="AI471" s="7"/>
      <c r="AJ471" s="7"/>
      <c r="AK471" s="7"/>
      <c r="AL471" s="7"/>
      <c r="AM471" s="7"/>
      <c r="AN471" s="7"/>
      <c r="AO471" s="7"/>
      <c r="AP471" s="7"/>
      <c r="AQ471" s="7"/>
      <c r="AR471" s="7"/>
      <c r="AS471" s="7"/>
      <c r="AT471" s="7"/>
      <c r="AU471" s="7"/>
      <c r="AV471" s="7"/>
      <c r="AW471" s="7"/>
      <c r="AX471" s="7"/>
      <c r="AY471" s="7"/>
      <c r="AZ471" s="7"/>
      <c r="BA471" s="7"/>
      <c r="BB471" s="7"/>
      <c r="BC471" s="7"/>
      <c r="BD471" s="7"/>
      <c r="BE471" s="7"/>
      <c r="BF471" s="7"/>
      <c r="BG471" s="7"/>
    </row>
    <row r="472" spans="1:59">
      <c r="A472" s="7"/>
      <c r="B472" s="7"/>
      <c r="C472" s="7"/>
      <c r="D472" s="7"/>
      <c r="E472" s="7"/>
      <c r="F472" s="7"/>
      <c r="G472" s="7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  <c r="AA472" s="7"/>
      <c r="AB472" s="7"/>
      <c r="AC472" s="7"/>
      <c r="AD472" s="7"/>
      <c r="AE472" s="7"/>
      <c r="AF472" s="7"/>
      <c r="AG472" s="7"/>
      <c r="AH472" s="7"/>
      <c r="AI472" s="7"/>
      <c r="AJ472" s="7"/>
      <c r="AK472" s="7"/>
      <c r="AL472" s="7"/>
      <c r="AM472" s="7"/>
      <c r="AN472" s="7"/>
      <c r="AO472" s="7"/>
      <c r="AP472" s="7"/>
      <c r="AQ472" s="7"/>
      <c r="AR472" s="7"/>
      <c r="AS472" s="7"/>
      <c r="AT472" s="7"/>
      <c r="AU472" s="7"/>
      <c r="AV472" s="7"/>
      <c r="AW472" s="7"/>
      <c r="AX472" s="7"/>
      <c r="AY472" s="7"/>
      <c r="AZ472" s="7"/>
      <c r="BA472" s="7"/>
      <c r="BB472" s="7"/>
      <c r="BC472" s="7"/>
      <c r="BD472" s="7"/>
      <c r="BE472" s="7"/>
      <c r="BF472" s="7"/>
      <c r="BG472" s="7"/>
    </row>
    <row r="473" spans="1:59">
      <c r="A473" s="7"/>
      <c r="B473" s="7"/>
      <c r="C473" s="7"/>
      <c r="D473" s="7"/>
      <c r="E473" s="7"/>
      <c r="F473" s="7"/>
      <c r="G473" s="7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  <c r="AA473" s="7"/>
      <c r="AB473" s="7"/>
      <c r="AC473" s="7"/>
      <c r="AD473" s="7"/>
      <c r="AE473" s="7"/>
      <c r="AF473" s="7"/>
      <c r="AG473" s="7"/>
      <c r="AH473" s="7"/>
      <c r="AI473" s="7"/>
      <c r="AJ473" s="7"/>
      <c r="AK473" s="7"/>
      <c r="AL473" s="7"/>
      <c r="AM473" s="7"/>
      <c r="AN473" s="7"/>
      <c r="AO473" s="7"/>
      <c r="AP473" s="7"/>
      <c r="AQ473" s="7"/>
      <c r="AR473" s="7"/>
      <c r="AS473" s="7"/>
      <c r="AT473" s="7"/>
      <c r="AU473" s="7"/>
      <c r="AV473" s="7"/>
      <c r="AW473" s="7"/>
      <c r="AX473" s="7"/>
      <c r="AY473" s="7"/>
      <c r="AZ473" s="7"/>
      <c r="BA473" s="7"/>
      <c r="BB473" s="7"/>
      <c r="BC473" s="7"/>
      <c r="BD473" s="7"/>
      <c r="BE473" s="7"/>
      <c r="BF473" s="7"/>
      <c r="BG473" s="7"/>
    </row>
    <row r="474" spans="1:59">
      <c r="A474" s="7"/>
      <c r="B474" s="7"/>
      <c r="C474" s="7"/>
      <c r="D474" s="7"/>
      <c r="E474" s="7"/>
      <c r="F474" s="7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  <c r="AA474" s="7"/>
      <c r="AB474" s="7"/>
      <c r="AC474" s="7"/>
      <c r="AD474" s="7"/>
      <c r="AE474" s="7"/>
      <c r="AF474" s="7"/>
      <c r="AG474" s="7"/>
      <c r="AH474" s="7"/>
      <c r="AI474" s="7"/>
      <c r="AJ474" s="7"/>
      <c r="AK474" s="7"/>
      <c r="AL474" s="7"/>
      <c r="AM474" s="7"/>
      <c r="AN474" s="7"/>
      <c r="AO474" s="7"/>
      <c r="AP474" s="7"/>
      <c r="AQ474" s="7"/>
      <c r="AR474" s="7"/>
      <c r="AS474" s="7"/>
      <c r="AT474" s="7"/>
      <c r="AU474" s="7"/>
      <c r="AV474" s="7"/>
      <c r="AW474" s="7"/>
      <c r="AX474" s="7"/>
      <c r="AY474" s="7"/>
      <c r="AZ474" s="7"/>
      <c r="BA474" s="7"/>
      <c r="BB474" s="7"/>
      <c r="BC474" s="7"/>
      <c r="BD474" s="7"/>
      <c r="BE474" s="7"/>
      <c r="BF474" s="7"/>
      <c r="BG474" s="7"/>
    </row>
    <row r="475" spans="1:59">
      <c r="A475" s="7"/>
      <c r="B475" s="7"/>
      <c r="C475" s="7"/>
      <c r="D475" s="7"/>
      <c r="E475" s="7"/>
      <c r="F475" s="7"/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  <c r="AA475" s="7"/>
      <c r="AB475" s="7"/>
      <c r="AC475" s="7"/>
      <c r="AD475" s="7"/>
      <c r="AE475" s="7"/>
      <c r="AF475" s="7"/>
      <c r="AG475" s="7"/>
      <c r="AH475" s="7"/>
      <c r="AI475" s="7"/>
      <c r="AJ475" s="7"/>
      <c r="AK475" s="7"/>
      <c r="AL475" s="7"/>
      <c r="AM475" s="7"/>
      <c r="AN475" s="7"/>
      <c r="AO475" s="7"/>
      <c r="AP475" s="7"/>
      <c r="AQ475" s="7"/>
      <c r="AR475" s="7"/>
      <c r="AS475" s="7"/>
      <c r="AT475" s="7"/>
      <c r="AU475" s="7"/>
      <c r="AV475" s="7"/>
      <c r="AW475" s="7"/>
      <c r="AX475" s="7"/>
      <c r="AY475" s="7"/>
      <c r="AZ475" s="7"/>
      <c r="BA475" s="7"/>
      <c r="BB475" s="7"/>
      <c r="BC475" s="7"/>
      <c r="BD475" s="7"/>
      <c r="BE475" s="7"/>
      <c r="BF475" s="7"/>
      <c r="BG475" s="7"/>
    </row>
    <row r="476" spans="1:59">
      <c r="A476" s="7"/>
      <c r="B476" s="7"/>
      <c r="C476" s="7"/>
      <c r="D476" s="7"/>
      <c r="E476" s="7"/>
      <c r="F476" s="7"/>
      <c r="G476" s="7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  <c r="AA476" s="7"/>
      <c r="AB476" s="7"/>
      <c r="AC476" s="7"/>
      <c r="AD476" s="7"/>
      <c r="AE476" s="7"/>
      <c r="AF476" s="7"/>
      <c r="AG476" s="7"/>
      <c r="AH476" s="7"/>
      <c r="AI476" s="7"/>
      <c r="AJ476" s="7"/>
      <c r="AK476" s="7"/>
      <c r="AL476" s="7"/>
      <c r="AM476" s="7"/>
      <c r="AN476" s="7"/>
      <c r="AO476" s="7"/>
      <c r="AP476" s="7"/>
      <c r="AQ476" s="7"/>
      <c r="AR476" s="7"/>
      <c r="AS476" s="7"/>
      <c r="AT476" s="7"/>
      <c r="AU476" s="7"/>
      <c r="AV476" s="7"/>
      <c r="AW476" s="7"/>
      <c r="AX476" s="7"/>
      <c r="AY476" s="7"/>
      <c r="AZ476" s="7"/>
      <c r="BA476" s="7"/>
      <c r="BB476" s="7"/>
      <c r="BC476" s="7"/>
      <c r="BD476" s="7"/>
      <c r="BE476" s="7"/>
      <c r="BF476" s="7"/>
      <c r="BG476" s="7"/>
    </row>
    <row r="477" spans="1:59">
      <c r="A477" s="7"/>
      <c r="B477" s="7"/>
      <c r="C477" s="7"/>
      <c r="D477" s="7"/>
      <c r="E477" s="7"/>
      <c r="F477" s="7"/>
      <c r="G477" s="7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  <c r="AA477" s="7"/>
      <c r="AB477" s="7"/>
      <c r="AC477" s="7"/>
      <c r="AD477" s="7"/>
      <c r="AE477" s="7"/>
      <c r="AF477" s="7"/>
      <c r="AG477" s="7"/>
      <c r="AH477" s="7"/>
      <c r="AI477" s="7"/>
      <c r="AJ477" s="7"/>
      <c r="AK477" s="7"/>
      <c r="AL477" s="7"/>
      <c r="AM477" s="7"/>
      <c r="AN477" s="7"/>
      <c r="AO477" s="7"/>
      <c r="AP477" s="7"/>
      <c r="AQ477" s="7"/>
      <c r="AR477" s="7"/>
      <c r="AS477" s="7"/>
      <c r="AT477" s="7"/>
      <c r="AU477" s="7"/>
      <c r="AV477" s="7"/>
      <c r="AW477" s="7"/>
      <c r="AX477" s="7"/>
      <c r="AY477" s="7"/>
      <c r="AZ477" s="7"/>
      <c r="BA477" s="7"/>
      <c r="BB477" s="7"/>
      <c r="BC477" s="7"/>
      <c r="BD477" s="7"/>
      <c r="BE477" s="7"/>
      <c r="BF477" s="7"/>
      <c r="BG477" s="7"/>
    </row>
    <row r="478" spans="1:59">
      <c r="A478" s="7"/>
      <c r="B478" s="7"/>
      <c r="C478" s="7"/>
      <c r="D478" s="7"/>
      <c r="E478" s="7"/>
      <c r="F478" s="7"/>
      <c r="G478" s="7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  <c r="AA478" s="7"/>
      <c r="AB478" s="7"/>
      <c r="AC478" s="7"/>
      <c r="AD478" s="7"/>
      <c r="AE478" s="7"/>
      <c r="AF478" s="7"/>
      <c r="AG478" s="7"/>
      <c r="AH478" s="7"/>
      <c r="AI478" s="7"/>
      <c r="AJ478" s="7"/>
      <c r="AK478" s="7"/>
      <c r="AL478" s="7"/>
      <c r="AM478" s="7"/>
      <c r="AN478" s="7"/>
      <c r="AO478" s="7"/>
      <c r="AP478" s="7"/>
      <c r="AQ478" s="7"/>
      <c r="AR478" s="7"/>
      <c r="AS478" s="7"/>
      <c r="AT478" s="7"/>
      <c r="AU478" s="7"/>
      <c r="AV478" s="7"/>
      <c r="AW478" s="7"/>
      <c r="AX478" s="7"/>
      <c r="AY478" s="7"/>
      <c r="AZ478" s="7"/>
      <c r="BA478" s="7"/>
      <c r="BB478" s="7"/>
      <c r="BC478" s="7"/>
      <c r="BD478" s="7"/>
      <c r="BE478" s="7"/>
      <c r="BF478" s="7"/>
      <c r="BG478" s="7"/>
    </row>
    <row r="479" spans="1:59">
      <c r="A479" s="7"/>
      <c r="B479" s="7"/>
      <c r="C479" s="7"/>
      <c r="D479" s="7"/>
      <c r="E479" s="7"/>
      <c r="F479" s="7"/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  <c r="AA479" s="7"/>
      <c r="AB479" s="7"/>
      <c r="AC479" s="7"/>
      <c r="AD479" s="7"/>
      <c r="AE479" s="7"/>
      <c r="AF479" s="7"/>
      <c r="AG479" s="7"/>
      <c r="AH479" s="7"/>
      <c r="AI479" s="7"/>
      <c r="AJ479" s="7"/>
      <c r="AK479" s="7"/>
      <c r="AL479" s="7"/>
      <c r="AM479" s="7"/>
      <c r="AN479" s="7"/>
      <c r="AO479" s="7"/>
      <c r="AP479" s="7"/>
      <c r="AQ479" s="7"/>
      <c r="AR479" s="7"/>
      <c r="AS479" s="7"/>
      <c r="AT479" s="7"/>
      <c r="AU479" s="7"/>
      <c r="AV479" s="7"/>
      <c r="AW479" s="7"/>
      <c r="AX479" s="7"/>
      <c r="AY479" s="7"/>
      <c r="AZ479" s="7"/>
      <c r="BA479" s="7"/>
      <c r="BB479" s="7"/>
      <c r="BC479" s="7"/>
      <c r="BD479" s="7"/>
      <c r="BE479" s="7"/>
      <c r="BF479" s="7"/>
      <c r="BG479" s="7"/>
    </row>
    <row r="480" spans="1:59">
      <c r="A480" s="7"/>
      <c r="B480" s="7"/>
      <c r="C480" s="7"/>
      <c r="D480" s="7"/>
      <c r="E480" s="7"/>
      <c r="F480" s="7"/>
      <c r="G480" s="7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  <c r="AA480" s="7"/>
      <c r="AB480" s="7"/>
      <c r="AC480" s="7"/>
      <c r="AD480" s="7"/>
      <c r="AE480" s="7"/>
      <c r="AF480" s="7"/>
      <c r="AG480" s="7"/>
      <c r="AH480" s="7"/>
      <c r="AI480" s="7"/>
      <c r="AJ480" s="7"/>
      <c r="AK480" s="7"/>
      <c r="AL480" s="7"/>
      <c r="AM480" s="7"/>
      <c r="AN480" s="7"/>
      <c r="AO480" s="7"/>
      <c r="AP480" s="7"/>
      <c r="AQ480" s="7"/>
      <c r="AR480" s="7"/>
      <c r="AS480" s="7"/>
      <c r="AT480" s="7"/>
      <c r="AU480" s="7"/>
      <c r="AV480" s="7"/>
      <c r="AW480" s="7"/>
      <c r="AX480" s="7"/>
      <c r="AY480" s="7"/>
      <c r="AZ480" s="7"/>
      <c r="BA480" s="7"/>
      <c r="BB480" s="7"/>
      <c r="BC480" s="7"/>
      <c r="BD480" s="7"/>
      <c r="BE480" s="7"/>
      <c r="BF480" s="7"/>
      <c r="BG480" s="7"/>
    </row>
    <row r="481" spans="1:59">
      <c r="A481" s="7"/>
      <c r="B481" s="7"/>
      <c r="C481" s="7"/>
      <c r="D481" s="7"/>
      <c r="E481" s="7"/>
      <c r="F481" s="7"/>
      <c r="G481" s="7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  <c r="AA481" s="7"/>
      <c r="AB481" s="7"/>
      <c r="AC481" s="7"/>
      <c r="AD481" s="7"/>
      <c r="AE481" s="7"/>
      <c r="AF481" s="7"/>
      <c r="AG481" s="7"/>
      <c r="AH481" s="7"/>
      <c r="AI481" s="7"/>
      <c r="AJ481" s="7"/>
      <c r="AK481" s="7"/>
      <c r="AL481" s="7"/>
      <c r="AM481" s="7"/>
      <c r="AN481" s="7"/>
      <c r="AO481" s="7"/>
      <c r="AP481" s="7"/>
      <c r="AQ481" s="7"/>
      <c r="AR481" s="7"/>
      <c r="AS481" s="7"/>
      <c r="AT481" s="7"/>
      <c r="AU481" s="7"/>
      <c r="AV481" s="7"/>
      <c r="AW481" s="7"/>
      <c r="AX481" s="7"/>
      <c r="AY481" s="7"/>
      <c r="AZ481" s="7"/>
      <c r="BA481" s="7"/>
      <c r="BB481" s="7"/>
      <c r="BC481" s="7"/>
      <c r="BD481" s="7"/>
      <c r="BE481" s="7"/>
      <c r="BF481" s="7"/>
      <c r="BG481" s="7"/>
    </row>
    <row r="482" spans="1:59">
      <c r="A482" s="7"/>
      <c r="B482" s="7"/>
      <c r="C482" s="7"/>
      <c r="D482" s="7"/>
      <c r="E482" s="7"/>
      <c r="F482" s="7"/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  <c r="AA482" s="7"/>
      <c r="AB482" s="7"/>
      <c r="AC482" s="7"/>
      <c r="AD482" s="7"/>
      <c r="AE482" s="7"/>
      <c r="AF482" s="7"/>
      <c r="AG482" s="7"/>
      <c r="AH482" s="7"/>
      <c r="AI482" s="7"/>
      <c r="AJ482" s="7"/>
      <c r="AK482" s="7"/>
      <c r="AL482" s="7"/>
      <c r="AM482" s="7"/>
      <c r="AN482" s="7"/>
      <c r="AO482" s="7"/>
      <c r="AP482" s="7"/>
      <c r="AQ482" s="7"/>
      <c r="AR482" s="7"/>
      <c r="AS482" s="7"/>
      <c r="AT482" s="7"/>
      <c r="AU482" s="7"/>
      <c r="AV482" s="7"/>
      <c r="AW482" s="7"/>
      <c r="AX482" s="7"/>
      <c r="AY482" s="7"/>
      <c r="AZ482" s="7"/>
      <c r="BA482" s="7"/>
      <c r="BB482" s="7"/>
      <c r="BC482" s="7"/>
      <c r="BD482" s="7"/>
      <c r="BE482" s="7"/>
      <c r="BF482" s="7"/>
      <c r="BG482" s="7"/>
    </row>
    <row r="483" spans="1:59">
      <c r="A483" s="7"/>
      <c r="B483" s="7"/>
      <c r="C483" s="7"/>
      <c r="D483" s="7"/>
      <c r="E483" s="7"/>
      <c r="F483" s="7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  <c r="AA483" s="7"/>
      <c r="AB483" s="7"/>
      <c r="AC483" s="7"/>
      <c r="AD483" s="7"/>
      <c r="AE483" s="7"/>
      <c r="AF483" s="7"/>
      <c r="AG483" s="7"/>
      <c r="AH483" s="7"/>
      <c r="AI483" s="7"/>
      <c r="AJ483" s="7"/>
      <c r="AK483" s="7"/>
      <c r="AL483" s="7"/>
      <c r="AM483" s="7"/>
      <c r="AN483" s="7"/>
      <c r="AO483" s="7"/>
      <c r="AP483" s="7"/>
      <c r="AQ483" s="7"/>
      <c r="AR483" s="7"/>
      <c r="AS483" s="7"/>
      <c r="AT483" s="7"/>
      <c r="AU483" s="7"/>
      <c r="AV483" s="7"/>
      <c r="AW483" s="7"/>
      <c r="AX483" s="7"/>
      <c r="AY483" s="7"/>
      <c r="AZ483" s="7"/>
      <c r="BA483" s="7"/>
      <c r="BB483" s="7"/>
      <c r="BC483" s="7"/>
      <c r="BD483" s="7"/>
      <c r="BE483" s="7"/>
      <c r="BF483" s="7"/>
      <c r="BG483" s="7"/>
    </row>
    <row r="484" spans="1:59">
      <c r="A484" s="7"/>
      <c r="B484" s="7"/>
      <c r="C484" s="7"/>
      <c r="D484" s="7"/>
      <c r="E484" s="7"/>
      <c r="F484" s="7"/>
      <c r="G484" s="7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  <c r="AA484" s="7"/>
      <c r="AB484" s="7"/>
      <c r="AC484" s="7"/>
      <c r="AD484" s="7"/>
      <c r="AE484" s="7"/>
      <c r="AF484" s="7"/>
      <c r="AG484" s="7"/>
      <c r="AH484" s="7"/>
      <c r="AI484" s="7"/>
      <c r="AJ484" s="7"/>
      <c r="AK484" s="7"/>
      <c r="AL484" s="7"/>
      <c r="AM484" s="7"/>
      <c r="AN484" s="7"/>
      <c r="AO484" s="7"/>
      <c r="AP484" s="7"/>
      <c r="AQ484" s="7"/>
      <c r="AR484" s="7"/>
      <c r="AS484" s="7"/>
      <c r="AT484" s="7"/>
      <c r="AU484" s="7"/>
      <c r="AV484" s="7"/>
      <c r="AW484" s="7"/>
      <c r="AX484" s="7"/>
      <c r="AY484" s="7"/>
      <c r="AZ484" s="7"/>
      <c r="BA484" s="7"/>
      <c r="BB484" s="7"/>
      <c r="BC484" s="7"/>
      <c r="BD484" s="7"/>
      <c r="BE484" s="7"/>
      <c r="BF484" s="7"/>
      <c r="BG484" s="7"/>
    </row>
    <row r="485" spans="1:59">
      <c r="A485" s="7"/>
      <c r="B485" s="7"/>
      <c r="C485" s="7"/>
      <c r="D485" s="7"/>
      <c r="E485" s="7"/>
      <c r="F485" s="7"/>
      <c r="G485" s="7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  <c r="AA485" s="7"/>
      <c r="AB485" s="7"/>
      <c r="AC485" s="7"/>
      <c r="AD485" s="7"/>
      <c r="AE485" s="7"/>
      <c r="AF485" s="7"/>
      <c r="AG485" s="7"/>
      <c r="AH485" s="7"/>
      <c r="AI485" s="7"/>
      <c r="AJ485" s="7"/>
      <c r="AK485" s="7"/>
      <c r="AL485" s="7"/>
      <c r="AM485" s="7"/>
      <c r="AN485" s="7"/>
      <c r="AO485" s="7"/>
      <c r="AP485" s="7"/>
      <c r="AQ485" s="7"/>
      <c r="AR485" s="7"/>
      <c r="AS485" s="7"/>
      <c r="AT485" s="7"/>
      <c r="AU485" s="7"/>
      <c r="AV485" s="7"/>
      <c r="AW485" s="7"/>
      <c r="AX485" s="7"/>
      <c r="AY485" s="7"/>
      <c r="AZ485" s="7"/>
      <c r="BA485" s="7"/>
      <c r="BB485" s="7"/>
      <c r="BC485" s="7"/>
      <c r="BD485" s="7"/>
      <c r="BE485" s="7"/>
      <c r="BF485" s="7"/>
      <c r="BG485" s="7"/>
    </row>
    <row r="486" spans="1:59">
      <c r="A486" s="7"/>
      <c r="B486" s="7"/>
      <c r="C486" s="7"/>
      <c r="D486" s="7"/>
      <c r="E486" s="7"/>
      <c r="F486" s="7"/>
      <c r="G486" s="7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  <c r="AA486" s="7"/>
      <c r="AB486" s="7"/>
      <c r="AC486" s="7"/>
      <c r="AD486" s="7"/>
      <c r="AE486" s="7"/>
      <c r="AF486" s="7"/>
      <c r="AG486" s="7"/>
      <c r="AH486" s="7"/>
      <c r="AI486" s="7"/>
      <c r="AJ486" s="7"/>
      <c r="AK486" s="7"/>
      <c r="AL486" s="7"/>
      <c r="AM486" s="7"/>
      <c r="AN486" s="7"/>
      <c r="AO486" s="7"/>
      <c r="AP486" s="7"/>
      <c r="AQ486" s="7"/>
      <c r="AR486" s="7"/>
      <c r="AS486" s="7"/>
      <c r="AT486" s="7"/>
      <c r="AU486" s="7"/>
      <c r="AV486" s="7"/>
      <c r="AW486" s="7"/>
      <c r="AX486" s="7"/>
      <c r="AY486" s="7"/>
      <c r="AZ486" s="7"/>
      <c r="BA486" s="7"/>
      <c r="BB486" s="7"/>
      <c r="BC486" s="7"/>
      <c r="BD486" s="7"/>
      <c r="BE486" s="7"/>
      <c r="BF486" s="7"/>
      <c r="BG486" s="7"/>
    </row>
    <row r="487" spans="1:59">
      <c r="A487" s="7"/>
      <c r="B487" s="7"/>
      <c r="C487" s="7"/>
      <c r="D487" s="7"/>
      <c r="E487" s="7"/>
      <c r="F487" s="7"/>
      <c r="G487" s="7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  <c r="AA487" s="7"/>
      <c r="AB487" s="7"/>
      <c r="AC487" s="7"/>
      <c r="AD487" s="7"/>
      <c r="AE487" s="7"/>
      <c r="AF487" s="7"/>
      <c r="AG487" s="7"/>
      <c r="AH487" s="7"/>
      <c r="AI487" s="7"/>
      <c r="AJ487" s="7"/>
      <c r="AK487" s="7"/>
      <c r="AL487" s="7"/>
      <c r="AM487" s="7"/>
      <c r="AN487" s="7"/>
      <c r="AO487" s="7"/>
      <c r="AP487" s="7"/>
      <c r="AQ487" s="7"/>
      <c r="AR487" s="7"/>
      <c r="AS487" s="7"/>
      <c r="AT487" s="7"/>
      <c r="AU487" s="7"/>
      <c r="AV487" s="7"/>
      <c r="AW487" s="7"/>
      <c r="AX487" s="7"/>
      <c r="AY487" s="7"/>
      <c r="AZ487" s="7"/>
      <c r="BA487" s="7"/>
      <c r="BB487" s="7"/>
      <c r="BC487" s="7"/>
      <c r="BD487" s="7"/>
      <c r="BE487" s="7"/>
      <c r="BF487" s="7"/>
      <c r="BG487" s="7"/>
    </row>
    <row r="488" spans="1:59">
      <c r="A488" s="7"/>
      <c r="B488" s="7"/>
      <c r="C488" s="7"/>
      <c r="D488" s="7"/>
      <c r="E488" s="7"/>
      <c r="F488" s="7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  <c r="AA488" s="7"/>
      <c r="AB488" s="7"/>
      <c r="AC488" s="7"/>
      <c r="AD488" s="7"/>
      <c r="AE488" s="7"/>
      <c r="AF488" s="7"/>
      <c r="AG488" s="7"/>
      <c r="AH488" s="7"/>
      <c r="AI488" s="7"/>
      <c r="AJ488" s="7"/>
      <c r="AK488" s="7"/>
      <c r="AL488" s="7"/>
      <c r="AM488" s="7"/>
      <c r="AN488" s="7"/>
      <c r="AO488" s="7"/>
      <c r="AP488" s="7"/>
      <c r="AQ488" s="7"/>
      <c r="AR488" s="7"/>
      <c r="AS488" s="7"/>
      <c r="AT488" s="7"/>
      <c r="AU488" s="7"/>
      <c r="AV488" s="7"/>
      <c r="AW488" s="7"/>
      <c r="AX488" s="7"/>
      <c r="AY488" s="7"/>
      <c r="AZ488" s="7"/>
      <c r="BA488" s="7"/>
      <c r="BB488" s="7"/>
      <c r="BC488" s="7"/>
      <c r="BD488" s="7"/>
      <c r="BE488" s="7"/>
      <c r="BF488" s="7"/>
      <c r="BG488" s="7"/>
    </row>
    <row r="489" spans="1:59">
      <c r="A489" s="7"/>
      <c r="B489" s="7"/>
      <c r="C489" s="7"/>
      <c r="D489" s="7"/>
      <c r="E489" s="7"/>
      <c r="F489" s="7"/>
      <c r="G489" s="7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  <c r="AA489" s="7"/>
      <c r="AB489" s="7"/>
      <c r="AC489" s="7"/>
      <c r="AD489" s="7"/>
      <c r="AE489" s="7"/>
      <c r="AF489" s="7"/>
      <c r="AG489" s="7"/>
      <c r="AH489" s="7"/>
      <c r="AI489" s="7"/>
      <c r="AJ489" s="7"/>
      <c r="AK489" s="7"/>
      <c r="AL489" s="7"/>
      <c r="AM489" s="7"/>
      <c r="AN489" s="7"/>
      <c r="AO489" s="7"/>
      <c r="AP489" s="7"/>
      <c r="AQ489" s="7"/>
      <c r="AR489" s="7"/>
      <c r="AS489" s="7"/>
      <c r="AT489" s="7"/>
      <c r="AU489" s="7"/>
      <c r="AV489" s="7"/>
      <c r="AW489" s="7"/>
      <c r="AX489" s="7"/>
      <c r="AY489" s="7"/>
      <c r="AZ489" s="7"/>
      <c r="BA489" s="7"/>
      <c r="BB489" s="7"/>
      <c r="BC489" s="7"/>
      <c r="BD489" s="7"/>
      <c r="BE489" s="7"/>
      <c r="BF489" s="7"/>
      <c r="BG489" s="7"/>
    </row>
    <row r="490" spans="1:59">
      <c r="A490" s="7"/>
      <c r="B490" s="7"/>
      <c r="C490" s="7"/>
      <c r="D490" s="7"/>
      <c r="E490" s="7"/>
      <c r="F490" s="7"/>
      <c r="G490" s="7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  <c r="AA490" s="7"/>
      <c r="AB490" s="7"/>
      <c r="AC490" s="7"/>
      <c r="AD490" s="7"/>
      <c r="AE490" s="7"/>
      <c r="AF490" s="7"/>
      <c r="AG490" s="7"/>
      <c r="AH490" s="7"/>
      <c r="AI490" s="7"/>
      <c r="AJ490" s="7"/>
      <c r="AK490" s="7"/>
      <c r="AL490" s="7"/>
      <c r="AM490" s="7"/>
      <c r="AN490" s="7"/>
      <c r="AO490" s="7"/>
      <c r="AP490" s="7"/>
      <c r="AQ490" s="7"/>
      <c r="AR490" s="7"/>
      <c r="AS490" s="7"/>
      <c r="AT490" s="7"/>
      <c r="AU490" s="7"/>
      <c r="AV490" s="7"/>
      <c r="AW490" s="7"/>
      <c r="AX490" s="7"/>
      <c r="AY490" s="7"/>
      <c r="AZ490" s="7"/>
      <c r="BA490" s="7"/>
      <c r="BB490" s="7"/>
      <c r="BC490" s="7"/>
      <c r="BD490" s="7"/>
      <c r="BE490" s="7"/>
      <c r="BF490" s="7"/>
      <c r="BG490" s="7"/>
    </row>
    <row r="491" spans="1:59">
      <c r="A491" s="7"/>
      <c r="B491" s="7"/>
      <c r="C491" s="7"/>
      <c r="D491" s="7"/>
      <c r="E491" s="7"/>
      <c r="F491" s="7"/>
      <c r="G491" s="7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  <c r="AA491" s="7"/>
      <c r="AB491" s="7"/>
      <c r="AC491" s="7"/>
      <c r="AD491" s="7"/>
      <c r="AE491" s="7"/>
      <c r="AF491" s="7"/>
      <c r="AG491" s="7"/>
      <c r="AH491" s="7"/>
      <c r="AI491" s="7"/>
      <c r="AJ491" s="7"/>
      <c r="AK491" s="7"/>
      <c r="AL491" s="7"/>
      <c r="AM491" s="7"/>
      <c r="AN491" s="7"/>
      <c r="AO491" s="7"/>
      <c r="AP491" s="7"/>
      <c r="AQ491" s="7"/>
      <c r="AR491" s="7"/>
      <c r="AS491" s="7"/>
      <c r="AT491" s="7"/>
      <c r="AU491" s="7"/>
      <c r="AV491" s="7"/>
      <c r="AW491" s="7"/>
      <c r="AX491" s="7"/>
      <c r="AY491" s="7"/>
      <c r="AZ491" s="7"/>
      <c r="BA491" s="7"/>
      <c r="BB491" s="7"/>
      <c r="BC491" s="7"/>
      <c r="BD491" s="7"/>
      <c r="BE491" s="7"/>
      <c r="BF491" s="7"/>
      <c r="BG491" s="7"/>
    </row>
    <row r="492" spans="1:59">
      <c r="A492" s="7"/>
      <c r="B492" s="7"/>
      <c r="C492" s="7"/>
      <c r="D492" s="7"/>
      <c r="E492" s="7"/>
      <c r="F492" s="7"/>
      <c r="G492" s="7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  <c r="AA492" s="7"/>
      <c r="AB492" s="7"/>
      <c r="AC492" s="7"/>
      <c r="AD492" s="7"/>
      <c r="AE492" s="7"/>
      <c r="AF492" s="7"/>
      <c r="AG492" s="7"/>
      <c r="AH492" s="7"/>
      <c r="AI492" s="7"/>
      <c r="AJ492" s="7"/>
      <c r="AK492" s="7"/>
      <c r="AL492" s="7"/>
      <c r="AM492" s="7"/>
      <c r="AN492" s="7"/>
      <c r="AO492" s="7"/>
      <c r="AP492" s="7"/>
      <c r="AQ492" s="7"/>
      <c r="AR492" s="7"/>
      <c r="AS492" s="7"/>
      <c r="AT492" s="7"/>
      <c r="AU492" s="7"/>
      <c r="AV492" s="7"/>
      <c r="AW492" s="7"/>
      <c r="AX492" s="7"/>
      <c r="AY492" s="7"/>
      <c r="AZ492" s="7"/>
      <c r="BA492" s="7"/>
      <c r="BB492" s="7"/>
      <c r="BC492" s="7"/>
      <c r="BD492" s="7"/>
      <c r="BE492" s="7"/>
      <c r="BF492" s="7"/>
      <c r="BG492" s="7"/>
    </row>
    <row r="493" spans="1:59">
      <c r="A493" s="7"/>
      <c r="B493" s="7"/>
      <c r="C493" s="7"/>
      <c r="D493" s="7"/>
      <c r="E493" s="7"/>
      <c r="F493" s="7"/>
      <c r="G493" s="7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  <c r="AA493" s="7"/>
      <c r="AB493" s="7"/>
      <c r="AC493" s="7"/>
      <c r="AD493" s="7"/>
      <c r="AE493" s="7"/>
      <c r="AF493" s="7"/>
      <c r="AG493" s="7"/>
      <c r="AH493" s="7"/>
      <c r="AI493" s="7"/>
      <c r="AJ493" s="7"/>
      <c r="AK493" s="7"/>
      <c r="AL493" s="7"/>
      <c r="AM493" s="7"/>
      <c r="AN493" s="7"/>
      <c r="AO493" s="7"/>
      <c r="AP493" s="7"/>
      <c r="AQ493" s="7"/>
      <c r="AR493" s="7"/>
      <c r="AS493" s="7"/>
      <c r="AT493" s="7"/>
      <c r="AU493" s="7"/>
      <c r="AV493" s="7"/>
      <c r="AW493" s="7"/>
      <c r="AX493" s="7"/>
      <c r="AY493" s="7"/>
      <c r="AZ493" s="7"/>
      <c r="BA493" s="7"/>
      <c r="BB493" s="7"/>
      <c r="BC493" s="7"/>
      <c r="BD493" s="7"/>
      <c r="BE493" s="7"/>
      <c r="BF493" s="7"/>
      <c r="BG493" s="7"/>
    </row>
    <row r="494" spans="1:59">
      <c r="A494" s="7"/>
      <c r="B494" s="7"/>
      <c r="C494" s="7"/>
      <c r="D494" s="7"/>
      <c r="E494" s="7"/>
      <c r="F494" s="7"/>
      <c r="G494" s="7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  <c r="AA494" s="7"/>
      <c r="AB494" s="7"/>
      <c r="AC494" s="7"/>
      <c r="AD494" s="7"/>
      <c r="AE494" s="7"/>
      <c r="AF494" s="7"/>
      <c r="AG494" s="7"/>
      <c r="AH494" s="7"/>
      <c r="AI494" s="7"/>
      <c r="AJ494" s="7"/>
      <c r="AK494" s="7"/>
      <c r="AL494" s="7"/>
      <c r="AM494" s="7"/>
      <c r="AN494" s="7"/>
      <c r="AO494" s="7"/>
      <c r="AP494" s="7"/>
      <c r="AQ494" s="7"/>
      <c r="AR494" s="7"/>
      <c r="AS494" s="7"/>
      <c r="AT494" s="7"/>
      <c r="AU494" s="7"/>
      <c r="AV494" s="7"/>
      <c r="AW494" s="7"/>
      <c r="AX494" s="7"/>
      <c r="AY494" s="7"/>
      <c r="AZ494" s="7"/>
      <c r="BA494" s="7"/>
      <c r="BB494" s="7"/>
      <c r="BC494" s="7"/>
      <c r="BD494" s="7"/>
      <c r="BE494" s="7"/>
      <c r="BF494" s="7"/>
      <c r="BG494" s="7"/>
    </row>
    <row r="495" spans="1:59">
      <c r="A495" s="7"/>
      <c r="B495" s="7"/>
      <c r="C495" s="7"/>
      <c r="D495" s="7"/>
      <c r="E495" s="7"/>
      <c r="F495" s="7"/>
      <c r="G495" s="7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  <c r="AA495" s="7"/>
      <c r="AB495" s="7"/>
      <c r="AC495" s="7"/>
      <c r="AD495" s="7"/>
      <c r="AE495" s="7"/>
      <c r="AF495" s="7"/>
      <c r="AG495" s="7"/>
      <c r="AH495" s="7"/>
      <c r="AI495" s="7"/>
      <c r="AJ495" s="7"/>
      <c r="AK495" s="7"/>
      <c r="AL495" s="7"/>
      <c r="AM495" s="7"/>
      <c r="AN495" s="7"/>
      <c r="AO495" s="7"/>
      <c r="AP495" s="7"/>
      <c r="AQ495" s="7"/>
      <c r="AR495" s="7"/>
      <c r="AS495" s="7"/>
      <c r="AT495" s="7"/>
      <c r="AU495" s="7"/>
      <c r="AV495" s="7"/>
      <c r="AW495" s="7"/>
      <c r="AX495" s="7"/>
      <c r="AY495" s="7"/>
      <c r="AZ495" s="7"/>
      <c r="BA495" s="7"/>
      <c r="BB495" s="7"/>
      <c r="BC495" s="7"/>
      <c r="BD495" s="7"/>
      <c r="BE495" s="7"/>
      <c r="BF495" s="7"/>
      <c r="BG495" s="7"/>
    </row>
    <row r="496" spans="1:59">
      <c r="A496" s="7"/>
      <c r="B496" s="7"/>
      <c r="C496" s="7"/>
      <c r="D496" s="7"/>
      <c r="E496" s="7"/>
      <c r="F496" s="7"/>
      <c r="G496" s="7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  <c r="AA496" s="7"/>
      <c r="AB496" s="7"/>
      <c r="AC496" s="7"/>
      <c r="AD496" s="7"/>
      <c r="AE496" s="7"/>
      <c r="AF496" s="7"/>
      <c r="AG496" s="7"/>
      <c r="AH496" s="7"/>
      <c r="AI496" s="7"/>
      <c r="AJ496" s="7"/>
      <c r="AK496" s="7"/>
      <c r="AL496" s="7"/>
      <c r="AM496" s="7"/>
      <c r="AN496" s="7"/>
      <c r="AO496" s="7"/>
      <c r="AP496" s="7"/>
      <c r="AQ496" s="7"/>
      <c r="AR496" s="7"/>
      <c r="AS496" s="7"/>
      <c r="AT496" s="7"/>
      <c r="AU496" s="7"/>
      <c r="AV496" s="7"/>
      <c r="AW496" s="7"/>
      <c r="AX496" s="7"/>
      <c r="AY496" s="7"/>
      <c r="AZ496" s="7"/>
      <c r="BA496" s="7"/>
      <c r="BB496" s="7"/>
      <c r="BC496" s="7"/>
      <c r="BD496" s="7"/>
      <c r="BE496" s="7"/>
      <c r="BF496" s="7"/>
      <c r="BG496" s="7"/>
    </row>
    <row r="497" spans="1:59">
      <c r="A497" s="7"/>
      <c r="B497" s="7"/>
      <c r="C497" s="7"/>
      <c r="D497" s="7"/>
      <c r="E497" s="7"/>
      <c r="F497" s="7"/>
      <c r="G497" s="7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  <c r="AA497" s="7"/>
      <c r="AB497" s="7"/>
      <c r="AC497" s="7"/>
      <c r="AD497" s="7"/>
      <c r="AE497" s="7"/>
      <c r="AF497" s="7"/>
      <c r="AG497" s="7"/>
      <c r="AH497" s="7"/>
      <c r="AI497" s="7"/>
      <c r="AJ497" s="7"/>
      <c r="AK497" s="7"/>
      <c r="AL497" s="7"/>
      <c r="AM497" s="7"/>
      <c r="AN497" s="7"/>
      <c r="AO497" s="7"/>
      <c r="AP497" s="7"/>
      <c r="AQ497" s="7"/>
      <c r="AR497" s="7"/>
      <c r="AS497" s="7"/>
      <c r="AT497" s="7"/>
      <c r="AU497" s="7"/>
      <c r="AV497" s="7"/>
      <c r="AW497" s="7"/>
      <c r="AX497" s="7"/>
      <c r="AY497" s="7"/>
      <c r="AZ497" s="7"/>
      <c r="BA497" s="7"/>
      <c r="BB497" s="7"/>
      <c r="BC497" s="7"/>
      <c r="BD497" s="7"/>
      <c r="BE497" s="7"/>
      <c r="BF497" s="7"/>
      <c r="BG497" s="7"/>
    </row>
    <row r="498" spans="1:59">
      <c r="A498" s="7"/>
      <c r="B498" s="7"/>
      <c r="C498" s="7"/>
      <c r="D498" s="7"/>
      <c r="E498" s="7"/>
      <c r="F498" s="7"/>
      <c r="G498" s="7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  <c r="AA498" s="7"/>
      <c r="AB498" s="7"/>
      <c r="AC498" s="7"/>
      <c r="AD498" s="7"/>
      <c r="AE498" s="7"/>
      <c r="AF498" s="7"/>
      <c r="AG498" s="7"/>
      <c r="AH498" s="7"/>
      <c r="AI498" s="7"/>
      <c r="AJ498" s="7"/>
      <c r="AK498" s="7"/>
      <c r="AL498" s="7"/>
      <c r="AM498" s="7"/>
      <c r="AN498" s="7"/>
      <c r="AO498" s="7"/>
      <c r="AP498" s="7"/>
      <c r="AQ498" s="7"/>
      <c r="AR498" s="7"/>
      <c r="AS498" s="7"/>
      <c r="AT498" s="7"/>
      <c r="AU498" s="7"/>
      <c r="AV498" s="7"/>
      <c r="AW498" s="7"/>
      <c r="AX498" s="7"/>
      <c r="AY498" s="7"/>
      <c r="AZ498" s="7"/>
      <c r="BA498" s="7"/>
      <c r="BB498" s="7"/>
      <c r="BC498" s="7"/>
      <c r="BD498" s="7"/>
      <c r="BE498" s="7"/>
      <c r="BF498" s="7"/>
      <c r="BG498" s="7"/>
    </row>
    <row r="499" spans="1:59">
      <c r="A499" s="7"/>
      <c r="B499" s="7"/>
      <c r="C499" s="7"/>
      <c r="D499" s="7"/>
      <c r="E499" s="7"/>
      <c r="F499" s="7"/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  <c r="AA499" s="7"/>
      <c r="AB499" s="7"/>
      <c r="AC499" s="7"/>
      <c r="AD499" s="7"/>
      <c r="AE499" s="7"/>
      <c r="AF499" s="7"/>
      <c r="AG499" s="7"/>
      <c r="AH499" s="7"/>
      <c r="AI499" s="7"/>
      <c r="AJ499" s="7"/>
      <c r="AK499" s="7"/>
      <c r="AL499" s="7"/>
      <c r="AM499" s="7"/>
      <c r="AN499" s="7"/>
      <c r="AO499" s="7"/>
      <c r="AP499" s="7"/>
      <c r="AQ499" s="7"/>
      <c r="AR499" s="7"/>
      <c r="AS499" s="7"/>
      <c r="AT499" s="7"/>
      <c r="AU499" s="7"/>
      <c r="AV499" s="7"/>
      <c r="AW499" s="7"/>
      <c r="AX499" s="7"/>
      <c r="AY499" s="7"/>
      <c r="AZ499" s="7"/>
      <c r="BA499" s="7"/>
      <c r="BB499" s="7"/>
      <c r="BC499" s="7"/>
      <c r="BD499" s="7"/>
      <c r="BE499" s="7"/>
      <c r="BF499" s="7"/>
      <c r="BG499" s="7"/>
    </row>
    <row r="500" spans="1:59">
      <c r="A500" s="7"/>
      <c r="B500" s="7"/>
      <c r="C500" s="7"/>
      <c r="D500" s="7"/>
      <c r="E500" s="7"/>
      <c r="F500" s="7"/>
      <c r="G500" s="7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  <c r="AA500" s="7"/>
      <c r="AB500" s="7"/>
      <c r="AC500" s="7"/>
      <c r="AD500" s="7"/>
      <c r="AE500" s="7"/>
      <c r="AF500" s="7"/>
      <c r="AG500" s="7"/>
      <c r="AH500" s="7"/>
      <c r="AI500" s="7"/>
      <c r="AJ500" s="7"/>
      <c r="AK500" s="7"/>
      <c r="AL500" s="7"/>
      <c r="AM500" s="7"/>
      <c r="AN500" s="7"/>
      <c r="AO500" s="7"/>
      <c r="AP500" s="7"/>
      <c r="AQ500" s="7"/>
      <c r="AR500" s="7"/>
      <c r="AS500" s="7"/>
      <c r="AT500" s="7"/>
      <c r="AU500" s="7"/>
      <c r="AV500" s="7"/>
      <c r="AW500" s="7"/>
      <c r="AX500" s="7"/>
      <c r="AY500" s="7"/>
      <c r="AZ500" s="7"/>
      <c r="BA500" s="7"/>
      <c r="BB500" s="7"/>
      <c r="BC500" s="7"/>
      <c r="BD500" s="7"/>
      <c r="BE500" s="7"/>
      <c r="BF500" s="7"/>
      <c r="BG500" s="7"/>
    </row>
    <row r="501" spans="1:59">
      <c r="A501" s="7"/>
      <c r="B501" s="7"/>
      <c r="C501" s="7"/>
      <c r="D501" s="7"/>
      <c r="E501" s="7"/>
      <c r="F501" s="7"/>
      <c r="G501" s="7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  <c r="AA501" s="7"/>
      <c r="AB501" s="7"/>
      <c r="AC501" s="7"/>
      <c r="AD501" s="7"/>
      <c r="AE501" s="7"/>
      <c r="AF501" s="7"/>
      <c r="AG501" s="7"/>
      <c r="AH501" s="7"/>
      <c r="AI501" s="7"/>
      <c r="AJ501" s="7"/>
      <c r="AK501" s="7"/>
      <c r="AL501" s="7"/>
      <c r="AM501" s="7"/>
      <c r="AN501" s="7"/>
      <c r="AO501" s="7"/>
      <c r="AP501" s="7"/>
      <c r="AQ501" s="7"/>
      <c r="AR501" s="7"/>
      <c r="AS501" s="7"/>
      <c r="AT501" s="7"/>
      <c r="AU501" s="7"/>
      <c r="AV501" s="7"/>
      <c r="AW501" s="7"/>
      <c r="AX501" s="7"/>
      <c r="AY501" s="7"/>
      <c r="AZ501" s="7"/>
      <c r="BA501" s="7"/>
      <c r="BB501" s="7"/>
      <c r="BC501" s="7"/>
      <c r="BD501" s="7"/>
      <c r="BE501" s="7"/>
      <c r="BF501" s="7"/>
      <c r="BG501" s="7"/>
    </row>
    <row r="502" spans="1:59">
      <c r="A502" s="7"/>
      <c r="B502" s="7"/>
      <c r="C502" s="7"/>
      <c r="D502" s="7"/>
      <c r="E502" s="7"/>
      <c r="F502" s="7"/>
      <c r="G502" s="7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  <c r="AA502" s="7"/>
      <c r="AB502" s="7"/>
      <c r="AC502" s="7"/>
      <c r="AD502" s="7"/>
      <c r="AE502" s="7"/>
      <c r="AF502" s="7"/>
      <c r="AG502" s="7"/>
      <c r="AH502" s="7"/>
      <c r="AI502" s="7"/>
      <c r="AJ502" s="7"/>
      <c r="AK502" s="7"/>
      <c r="AL502" s="7"/>
      <c r="AM502" s="7"/>
      <c r="AN502" s="7"/>
      <c r="AO502" s="7"/>
      <c r="AP502" s="7"/>
      <c r="AQ502" s="7"/>
      <c r="AR502" s="7"/>
      <c r="AS502" s="7"/>
      <c r="AT502" s="7"/>
      <c r="AU502" s="7"/>
      <c r="AV502" s="7"/>
      <c r="AW502" s="7"/>
      <c r="AX502" s="7"/>
      <c r="AY502" s="7"/>
      <c r="AZ502" s="7"/>
      <c r="BA502" s="7"/>
      <c r="BB502" s="7"/>
      <c r="BC502" s="7"/>
      <c r="BD502" s="7"/>
      <c r="BE502" s="7"/>
      <c r="BF502" s="7"/>
      <c r="BG502" s="7"/>
    </row>
    <row r="503" spans="1:59">
      <c r="A503" s="7"/>
      <c r="B503" s="7"/>
      <c r="C503" s="7"/>
      <c r="D503" s="7"/>
      <c r="E503" s="7"/>
      <c r="F503" s="7"/>
      <c r="G503" s="7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  <c r="AA503" s="7"/>
      <c r="AB503" s="7"/>
      <c r="AC503" s="7"/>
      <c r="AD503" s="7"/>
      <c r="AE503" s="7"/>
      <c r="AF503" s="7"/>
      <c r="AG503" s="7"/>
      <c r="AH503" s="7"/>
      <c r="AI503" s="7"/>
      <c r="AJ503" s="7"/>
      <c r="AK503" s="7"/>
      <c r="AL503" s="7"/>
      <c r="AM503" s="7"/>
      <c r="AN503" s="7"/>
      <c r="AO503" s="7"/>
      <c r="AP503" s="7"/>
      <c r="AQ503" s="7"/>
      <c r="AR503" s="7"/>
      <c r="AS503" s="7"/>
      <c r="AT503" s="7"/>
      <c r="AU503" s="7"/>
      <c r="AV503" s="7"/>
      <c r="AW503" s="7"/>
      <c r="AX503" s="7"/>
      <c r="AY503" s="7"/>
      <c r="AZ503" s="7"/>
      <c r="BA503" s="7"/>
      <c r="BB503" s="7"/>
      <c r="BC503" s="7"/>
      <c r="BD503" s="7"/>
      <c r="BE503" s="7"/>
      <c r="BF503" s="7"/>
      <c r="BG503" s="7"/>
    </row>
    <row r="504" spans="1:59">
      <c r="A504" s="7"/>
      <c r="B504" s="7"/>
      <c r="C504" s="7"/>
      <c r="D504" s="7"/>
      <c r="E504" s="7"/>
      <c r="F504" s="7"/>
      <c r="G504" s="7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  <c r="AA504" s="7"/>
      <c r="AB504" s="7"/>
      <c r="AC504" s="7"/>
      <c r="AD504" s="7"/>
      <c r="AE504" s="7"/>
      <c r="AF504" s="7"/>
      <c r="AG504" s="7"/>
      <c r="AH504" s="7"/>
      <c r="AI504" s="7"/>
      <c r="AJ504" s="7"/>
      <c r="AK504" s="7"/>
      <c r="AL504" s="7"/>
      <c r="AM504" s="7"/>
      <c r="AN504" s="7"/>
      <c r="AO504" s="7"/>
      <c r="AP504" s="7"/>
      <c r="AQ504" s="7"/>
      <c r="AR504" s="7"/>
      <c r="AS504" s="7"/>
      <c r="AT504" s="7"/>
      <c r="AU504" s="7"/>
      <c r="AV504" s="7"/>
      <c r="AW504" s="7"/>
      <c r="AX504" s="7"/>
      <c r="AY504" s="7"/>
      <c r="AZ504" s="7"/>
      <c r="BA504" s="7"/>
      <c r="BB504" s="7"/>
      <c r="BC504" s="7"/>
      <c r="BD504" s="7"/>
      <c r="BE504" s="7"/>
      <c r="BF504" s="7"/>
      <c r="BG504" s="7"/>
    </row>
    <row r="505" spans="1:59">
      <c r="A505" s="7"/>
      <c r="B505" s="7"/>
      <c r="C505" s="7"/>
      <c r="D505" s="7"/>
      <c r="E505" s="7"/>
      <c r="F505" s="7"/>
      <c r="G505" s="7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  <c r="AA505" s="7"/>
      <c r="AB505" s="7"/>
      <c r="AC505" s="7"/>
      <c r="AD505" s="7"/>
      <c r="AE505" s="7"/>
      <c r="AF505" s="7"/>
      <c r="AG505" s="7"/>
      <c r="AH505" s="7"/>
      <c r="AI505" s="7"/>
      <c r="AJ505" s="7"/>
      <c r="AK505" s="7"/>
      <c r="AL505" s="7"/>
      <c r="AM505" s="7"/>
      <c r="AN505" s="7"/>
      <c r="AO505" s="7"/>
      <c r="AP505" s="7"/>
      <c r="AQ505" s="7"/>
      <c r="AR505" s="7"/>
      <c r="AS505" s="7"/>
      <c r="AT505" s="7"/>
      <c r="AU505" s="7"/>
      <c r="AV505" s="7"/>
      <c r="AW505" s="7"/>
      <c r="AX505" s="7"/>
      <c r="AY505" s="7"/>
      <c r="AZ505" s="7"/>
      <c r="BA505" s="7"/>
      <c r="BB505" s="7"/>
      <c r="BC505" s="7"/>
      <c r="BD505" s="7"/>
      <c r="BE505" s="7"/>
      <c r="BF505" s="7"/>
      <c r="BG505" s="7"/>
    </row>
    <row r="506" spans="1:59">
      <c r="A506" s="7"/>
      <c r="B506" s="7"/>
      <c r="C506" s="7"/>
      <c r="D506" s="7"/>
      <c r="E506" s="7"/>
      <c r="F506" s="7"/>
      <c r="G506" s="7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  <c r="AA506" s="7"/>
      <c r="AB506" s="7"/>
      <c r="AC506" s="7"/>
      <c r="AD506" s="7"/>
      <c r="AE506" s="7"/>
      <c r="AF506" s="7"/>
      <c r="AG506" s="7"/>
      <c r="AH506" s="7"/>
      <c r="AI506" s="7"/>
      <c r="AJ506" s="7"/>
      <c r="AK506" s="7"/>
      <c r="AL506" s="7"/>
      <c r="AM506" s="7"/>
      <c r="AN506" s="7"/>
      <c r="AO506" s="7"/>
      <c r="AP506" s="7"/>
      <c r="AQ506" s="7"/>
      <c r="AR506" s="7"/>
      <c r="AS506" s="7"/>
      <c r="AT506" s="7"/>
      <c r="AU506" s="7"/>
      <c r="AV506" s="7"/>
      <c r="AW506" s="7"/>
      <c r="AX506" s="7"/>
      <c r="AY506" s="7"/>
      <c r="AZ506" s="7"/>
      <c r="BA506" s="7"/>
      <c r="BB506" s="7"/>
      <c r="BC506" s="7"/>
      <c r="BD506" s="7"/>
      <c r="BE506" s="7"/>
      <c r="BF506" s="7"/>
      <c r="BG506" s="7"/>
    </row>
    <row r="507" spans="1:59">
      <c r="A507" s="7"/>
      <c r="B507" s="7"/>
      <c r="C507" s="7"/>
      <c r="D507" s="7"/>
      <c r="E507" s="7"/>
      <c r="F507" s="7"/>
      <c r="G507" s="7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  <c r="AA507" s="7"/>
      <c r="AB507" s="7"/>
      <c r="AC507" s="7"/>
      <c r="AD507" s="7"/>
      <c r="AE507" s="7"/>
      <c r="AF507" s="7"/>
      <c r="AG507" s="7"/>
      <c r="AH507" s="7"/>
      <c r="AI507" s="7"/>
      <c r="AJ507" s="7"/>
      <c r="AK507" s="7"/>
      <c r="AL507" s="7"/>
      <c r="AM507" s="7"/>
      <c r="AN507" s="7"/>
      <c r="AO507" s="7"/>
      <c r="AP507" s="7"/>
      <c r="AQ507" s="7"/>
      <c r="AR507" s="7"/>
      <c r="AS507" s="7"/>
      <c r="AT507" s="7"/>
      <c r="AU507" s="7"/>
      <c r="AV507" s="7"/>
      <c r="AW507" s="7"/>
      <c r="AX507" s="7"/>
      <c r="AY507" s="7"/>
      <c r="AZ507" s="7"/>
      <c r="BA507" s="7"/>
      <c r="BB507" s="7"/>
      <c r="BC507" s="7"/>
      <c r="BD507" s="7"/>
      <c r="BE507" s="7"/>
      <c r="BF507" s="7"/>
      <c r="BG507" s="7"/>
    </row>
    <row r="508" spans="1:59">
      <c r="A508" s="7"/>
      <c r="B508" s="7"/>
      <c r="C508" s="7"/>
      <c r="D508" s="7"/>
      <c r="E508" s="7"/>
      <c r="F508" s="7"/>
      <c r="G508" s="7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  <c r="AA508" s="7"/>
      <c r="AB508" s="7"/>
      <c r="AC508" s="7"/>
      <c r="AD508" s="7"/>
      <c r="AE508" s="7"/>
      <c r="AF508" s="7"/>
      <c r="AG508" s="7"/>
      <c r="AH508" s="7"/>
      <c r="AI508" s="7"/>
      <c r="AJ508" s="7"/>
      <c r="AK508" s="7"/>
      <c r="AL508" s="7"/>
      <c r="AM508" s="7"/>
      <c r="AN508" s="7"/>
      <c r="AO508" s="7"/>
      <c r="AP508" s="7"/>
      <c r="AQ508" s="7"/>
      <c r="AR508" s="7"/>
      <c r="AS508" s="7"/>
      <c r="AT508" s="7"/>
      <c r="AU508" s="7"/>
      <c r="AV508" s="7"/>
      <c r="AW508" s="7"/>
      <c r="AX508" s="7"/>
      <c r="AY508" s="7"/>
      <c r="AZ508" s="7"/>
      <c r="BA508" s="7"/>
      <c r="BB508" s="7"/>
      <c r="BC508" s="7"/>
      <c r="BD508" s="7"/>
      <c r="BE508" s="7"/>
      <c r="BF508" s="7"/>
      <c r="BG508" s="7"/>
    </row>
    <row r="509" spans="1:59">
      <c r="A509" s="7"/>
      <c r="B509" s="7"/>
      <c r="C509" s="7"/>
      <c r="D509" s="7"/>
      <c r="E509" s="7"/>
      <c r="F509" s="7"/>
      <c r="G509" s="7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  <c r="AA509" s="7"/>
      <c r="AB509" s="7"/>
      <c r="AC509" s="7"/>
      <c r="AD509" s="7"/>
      <c r="AE509" s="7"/>
      <c r="AF509" s="7"/>
      <c r="AG509" s="7"/>
      <c r="AH509" s="7"/>
      <c r="AI509" s="7"/>
      <c r="AJ509" s="7"/>
      <c r="AK509" s="7"/>
      <c r="AL509" s="7"/>
      <c r="AM509" s="7"/>
      <c r="AN509" s="7"/>
      <c r="AO509" s="7"/>
      <c r="AP509" s="7"/>
      <c r="AQ509" s="7"/>
      <c r="AR509" s="7"/>
      <c r="AS509" s="7"/>
      <c r="AT509" s="7"/>
      <c r="AU509" s="7"/>
      <c r="AV509" s="7"/>
      <c r="AW509" s="7"/>
      <c r="AX509" s="7"/>
      <c r="AY509" s="7"/>
      <c r="AZ509" s="7"/>
      <c r="BA509" s="7"/>
      <c r="BB509" s="7"/>
      <c r="BC509" s="7"/>
      <c r="BD509" s="7"/>
      <c r="BE509" s="7"/>
      <c r="BF509" s="7"/>
      <c r="BG509" s="7"/>
    </row>
    <row r="510" spans="1:59">
      <c r="A510" s="7"/>
      <c r="B510" s="7"/>
      <c r="C510" s="7"/>
      <c r="D510" s="7"/>
      <c r="E510" s="7"/>
      <c r="F510" s="7"/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  <c r="AA510" s="7"/>
      <c r="AB510" s="7"/>
      <c r="AC510" s="7"/>
      <c r="AD510" s="7"/>
      <c r="AE510" s="7"/>
      <c r="AF510" s="7"/>
      <c r="AG510" s="7"/>
      <c r="AH510" s="7"/>
      <c r="AI510" s="7"/>
      <c r="AJ510" s="7"/>
      <c r="AK510" s="7"/>
      <c r="AL510" s="7"/>
      <c r="AM510" s="7"/>
      <c r="AN510" s="7"/>
      <c r="AO510" s="7"/>
      <c r="AP510" s="7"/>
      <c r="AQ510" s="7"/>
      <c r="AR510" s="7"/>
      <c r="AS510" s="7"/>
      <c r="AT510" s="7"/>
      <c r="AU510" s="7"/>
      <c r="AV510" s="7"/>
      <c r="AW510" s="7"/>
      <c r="AX510" s="7"/>
      <c r="AY510" s="7"/>
      <c r="AZ510" s="7"/>
      <c r="BA510" s="7"/>
      <c r="BB510" s="7"/>
      <c r="BC510" s="7"/>
      <c r="BD510" s="7"/>
      <c r="BE510" s="7"/>
      <c r="BF510" s="7"/>
      <c r="BG510" s="7"/>
    </row>
    <row r="511" spans="1:59">
      <c r="A511" s="7"/>
      <c r="B511" s="7"/>
      <c r="C511" s="7"/>
      <c r="D511" s="7"/>
      <c r="E511" s="7"/>
      <c r="F511" s="7"/>
      <c r="G511" s="7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  <c r="AA511" s="7"/>
      <c r="AB511" s="7"/>
      <c r="AC511" s="7"/>
      <c r="AD511" s="7"/>
      <c r="AE511" s="7"/>
      <c r="AF511" s="7"/>
      <c r="AG511" s="7"/>
      <c r="AH511" s="7"/>
      <c r="AI511" s="7"/>
      <c r="AJ511" s="7"/>
      <c r="AK511" s="7"/>
      <c r="AL511" s="7"/>
      <c r="AM511" s="7"/>
      <c r="AN511" s="7"/>
      <c r="AO511" s="7"/>
      <c r="AP511" s="7"/>
      <c r="AQ511" s="7"/>
      <c r="AR511" s="7"/>
      <c r="AS511" s="7"/>
      <c r="AT511" s="7"/>
      <c r="AU511" s="7"/>
      <c r="AV511" s="7"/>
      <c r="AW511" s="7"/>
      <c r="AX511" s="7"/>
      <c r="AY511" s="7"/>
      <c r="AZ511" s="7"/>
      <c r="BA511" s="7"/>
      <c r="BB511" s="7"/>
      <c r="BC511" s="7"/>
      <c r="BD511" s="7"/>
      <c r="BE511" s="7"/>
      <c r="BF511" s="7"/>
      <c r="BG511" s="7"/>
    </row>
    <row r="512" spans="1:59">
      <c r="A512" s="7"/>
      <c r="B512" s="7"/>
      <c r="C512" s="7"/>
      <c r="D512" s="7"/>
      <c r="E512" s="7"/>
      <c r="F512" s="7"/>
      <c r="G512" s="7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  <c r="AA512" s="7"/>
      <c r="AB512" s="7"/>
      <c r="AC512" s="7"/>
      <c r="AD512" s="7"/>
      <c r="AE512" s="7"/>
      <c r="AF512" s="7"/>
      <c r="AG512" s="7"/>
      <c r="AH512" s="7"/>
      <c r="AI512" s="7"/>
      <c r="AJ512" s="7"/>
      <c r="AK512" s="7"/>
      <c r="AL512" s="7"/>
      <c r="AM512" s="7"/>
      <c r="AN512" s="7"/>
      <c r="AO512" s="7"/>
      <c r="AP512" s="7"/>
      <c r="AQ512" s="7"/>
      <c r="AR512" s="7"/>
      <c r="AS512" s="7"/>
      <c r="AT512" s="7"/>
      <c r="AU512" s="7"/>
      <c r="AV512" s="7"/>
      <c r="AW512" s="7"/>
      <c r="AX512" s="7"/>
      <c r="AY512" s="7"/>
      <c r="AZ512" s="7"/>
      <c r="BA512" s="7"/>
      <c r="BB512" s="7"/>
      <c r="BC512" s="7"/>
      <c r="BD512" s="7"/>
      <c r="BE512" s="7"/>
      <c r="BF512" s="7"/>
      <c r="BG512" s="7"/>
    </row>
    <row r="513" spans="1:59">
      <c r="A513" s="7"/>
      <c r="B513" s="7"/>
      <c r="C513" s="7"/>
      <c r="D513" s="7"/>
      <c r="E513" s="7"/>
      <c r="F513" s="7"/>
      <c r="G513" s="7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  <c r="AA513" s="7"/>
      <c r="AB513" s="7"/>
      <c r="AC513" s="7"/>
      <c r="AD513" s="7"/>
      <c r="AE513" s="7"/>
      <c r="AF513" s="7"/>
      <c r="AG513" s="7"/>
      <c r="AH513" s="7"/>
      <c r="AI513" s="7"/>
      <c r="AJ513" s="7"/>
      <c r="AK513" s="7"/>
      <c r="AL513" s="7"/>
      <c r="AM513" s="7"/>
      <c r="AN513" s="7"/>
      <c r="AO513" s="7"/>
      <c r="AP513" s="7"/>
      <c r="AQ513" s="7"/>
      <c r="AR513" s="7"/>
      <c r="AS513" s="7"/>
      <c r="AT513" s="7"/>
      <c r="AU513" s="7"/>
      <c r="AV513" s="7"/>
      <c r="AW513" s="7"/>
      <c r="AX513" s="7"/>
      <c r="AY513" s="7"/>
      <c r="AZ513" s="7"/>
      <c r="BA513" s="7"/>
      <c r="BB513" s="7"/>
      <c r="BC513" s="7"/>
      <c r="BD513" s="7"/>
      <c r="BE513" s="7"/>
      <c r="BF513" s="7"/>
      <c r="BG513" s="7"/>
    </row>
    <row r="514" spans="1:59">
      <c r="A514" s="7"/>
      <c r="B514" s="7"/>
      <c r="C514" s="7"/>
      <c r="D514" s="7"/>
      <c r="E514" s="7"/>
      <c r="F514" s="7"/>
      <c r="G514" s="7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  <c r="AA514" s="7"/>
      <c r="AB514" s="7"/>
      <c r="AC514" s="7"/>
      <c r="AD514" s="7"/>
      <c r="AE514" s="7"/>
      <c r="AF514" s="7"/>
      <c r="AG514" s="7"/>
      <c r="AH514" s="7"/>
      <c r="AI514" s="7"/>
      <c r="AJ514" s="7"/>
      <c r="AK514" s="7"/>
      <c r="AL514" s="7"/>
      <c r="AM514" s="7"/>
      <c r="AN514" s="7"/>
      <c r="AO514" s="7"/>
      <c r="AP514" s="7"/>
      <c r="AQ514" s="7"/>
      <c r="AR514" s="7"/>
      <c r="AS514" s="7"/>
      <c r="AT514" s="7"/>
      <c r="AU514" s="7"/>
      <c r="AV514" s="7"/>
      <c r="AW514" s="7"/>
      <c r="AX514" s="7"/>
      <c r="AY514" s="7"/>
      <c r="AZ514" s="7"/>
      <c r="BA514" s="7"/>
      <c r="BB514" s="7"/>
      <c r="BC514" s="7"/>
      <c r="BD514" s="7"/>
      <c r="BE514" s="7"/>
      <c r="BF514" s="7"/>
      <c r="BG514" s="7"/>
    </row>
    <row r="515" spans="1:59">
      <c r="A515" s="7"/>
      <c r="B515" s="7"/>
      <c r="C515" s="7"/>
      <c r="D515" s="7"/>
      <c r="E515" s="7"/>
      <c r="F515" s="7"/>
      <c r="G515" s="7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  <c r="AA515" s="7"/>
      <c r="AB515" s="7"/>
      <c r="AC515" s="7"/>
      <c r="AD515" s="7"/>
      <c r="AE515" s="7"/>
      <c r="AF515" s="7"/>
      <c r="AG515" s="7"/>
      <c r="AH515" s="7"/>
      <c r="AI515" s="7"/>
      <c r="AJ515" s="7"/>
      <c r="AK515" s="7"/>
      <c r="AL515" s="7"/>
      <c r="AM515" s="7"/>
      <c r="AN515" s="7"/>
      <c r="AO515" s="7"/>
      <c r="AP515" s="7"/>
      <c r="AQ515" s="7"/>
      <c r="AR515" s="7"/>
      <c r="AS515" s="7"/>
      <c r="AT515" s="7"/>
      <c r="AU515" s="7"/>
      <c r="AV515" s="7"/>
      <c r="AW515" s="7"/>
      <c r="AX515" s="7"/>
      <c r="AY515" s="7"/>
      <c r="AZ515" s="7"/>
      <c r="BA515" s="7"/>
      <c r="BB515" s="7"/>
      <c r="BC515" s="7"/>
      <c r="BD515" s="7"/>
      <c r="BE515" s="7"/>
      <c r="BF515" s="7"/>
      <c r="BG515" s="7"/>
    </row>
    <row r="516" spans="1:59">
      <c r="A516" s="7"/>
      <c r="B516" s="7"/>
      <c r="C516" s="7"/>
      <c r="D516" s="7"/>
      <c r="E516" s="7"/>
      <c r="F516" s="7"/>
      <c r="G516" s="7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  <c r="AA516" s="7"/>
      <c r="AB516" s="7"/>
      <c r="AC516" s="7"/>
      <c r="AD516" s="7"/>
      <c r="AE516" s="7"/>
      <c r="AF516" s="7"/>
      <c r="AG516" s="7"/>
      <c r="AH516" s="7"/>
      <c r="AI516" s="7"/>
      <c r="AJ516" s="7"/>
      <c r="AK516" s="7"/>
      <c r="AL516" s="7"/>
      <c r="AM516" s="7"/>
      <c r="AN516" s="7"/>
      <c r="AO516" s="7"/>
      <c r="AP516" s="7"/>
      <c r="AQ516" s="7"/>
      <c r="AR516" s="7"/>
      <c r="AS516" s="7"/>
      <c r="AT516" s="7"/>
      <c r="AU516" s="7"/>
      <c r="AV516" s="7"/>
      <c r="AW516" s="7"/>
      <c r="AX516" s="7"/>
      <c r="AY516" s="7"/>
      <c r="AZ516" s="7"/>
      <c r="BA516" s="7"/>
      <c r="BB516" s="7"/>
      <c r="BC516" s="7"/>
      <c r="BD516" s="7"/>
      <c r="BE516" s="7"/>
      <c r="BF516" s="7"/>
      <c r="BG516" s="7"/>
    </row>
    <row r="517" spans="1:59">
      <c r="A517" s="7"/>
      <c r="B517" s="7"/>
      <c r="C517" s="7"/>
      <c r="D517" s="7"/>
      <c r="E517" s="7"/>
      <c r="F517" s="7"/>
      <c r="G517" s="7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  <c r="AA517" s="7"/>
      <c r="AB517" s="7"/>
      <c r="AC517" s="7"/>
      <c r="AD517" s="7"/>
      <c r="AE517" s="7"/>
      <c r="AF517" s="7"/>
      <c r="AG517" s="7"/>
      <c r="AH517" s="7"/>
      <c r="AI517" s="7"/>
      <c r="AJ517" s="7"/>
      <c r="AK517" s="7"/>
      <c r="AL517" s="7"/>
      <c r="AM517" s="7"/>
      <c r="AN517" s="7"/>
      <c r="AO517" s="7"/>
      <c r="AP517" s="7"/>
      <c r="AQ517" s="7"/>
      <c r="AR517" s="7"/>
      <c r="AS517" s="7"/>
      <c r="AT517" s="7"/>
      <c r="AU517" s="7"/>
      <c r="AV517" s="7"/>
      <c r="AW517" s="7"/>
      <c r="AX517" s="7"/>
      <c r="AY517" s="7"/>
      <c r="AZ517" s="7"/>
      <c r="BA517" s="7"/>
      <c r="BB517" s="7"/>
      <c r="BC517" s="7"/>
      <c r="BD517" s="7"/>
      <c r="BE517" s="7"/>
      <c r="BF517" s="7"/>
      <c r="BG517" s="7"/>
    </row>
    <row r="518" spans="1:59">
      <c r="A518" s="7"/>
      <c r="B518" s="7"/>
      <c r="C518" s="7"/>
      <c r="D518" s="7"/>
      <c r="E518" s="7"/>
      <c r="F518" s="7"/>
      <c r="G518" s="7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  <c r="AA518" s="7"/>
      <c r="AB518" s="7"/>
      <c r="AC518" s="7"/>
      <c r="AD518" s="7"/>
      <c r="AE518" s="7"/>
      <c r="AF518" s="7"/>
      <c r="AG518" s="7"/>
      <c r="AH518" s="7"/>
      <c r="AI518" s="7"/>
      <c r="AJ518" s="7"/>
      <c r="AK518" s="7"/>
      <c r="AL518" s="7"/>
      <c r="AM518" s="7"/>
      <c r="AN518" s="7"/>
      <c r="AO518" s="7"/>
      <c r="AP518" s="7"/>
      <c r="AQ518" s="7"/>
      <c r="AR518" s="7"/>
      <c r="AS518" s="7"/>
      <c r="AT518" s="7"/>
      <c r="AU518" s="7"/>
      <c r="AV518" s="7"/>
      <c r="AW518" s="7"/>
      <c r="AX518" s="7"/>
      <c r="AY518" s="7"/>
      <c r="AZ518" s="7"/>
      <c r="BA518" s="7"/>
      <c r="BB518" s="7"/>
      <c r="BC518" s="7"/>
      <c r="BD518" s="7"/>
      <c r="BE518" s="7"/>
      <c r="BF518" s="7"/>
      <c r="BG518" s="7"/>
    </row>
    <row r="519" spans="1:59">
      <c r="A519" s="7"/>
      <c r="B519" s="7"/>
      <c r="C519" s="7"/>
      <c r="D519" s="7"/>
      <c r="E519" s="7"/>
      <c r="F519" s="7"/>
      <c r="G519" s="7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  <c r="AA519" s="7"/>
      <c r="AB519" s="7"/>
      <c r="AC519" s="7"/>
      <c r="AD519" s="7"/>
      <c r="AE519" s="7"/>
      <c r="AF519" s="7"/>
      <c r="AG519" s="7"/>
      <c r="AH519" s="7"/>
      <c r="AI519" s="7"/>
      <c r="AJ519" s="7"/>
      <c r="AK519" s="7"/>
      <c r="AL519" s="7"/>
      <c r="AM519" s="7"/>
      <c r="AN519" s="7"/>
      <c r="AO519" s="7"/>
      <c r="AP519" s="7"/>
      <c r="AQ519" s="7"/>
      <c r="AR519" s="7"/>
      <c r="AS519" s="7"/>
      <c r="AT519" s="7"/>
      <c r="AU519" s="7"/>
      <c r="AV519" s="7"/>
      <c r="AW519" s="7"/>
      <c r="AX519" s="7"/>
      <c r="AY519" s="7"/>
      <c r="AZ519" s="7"/>
      <c r="BA519" s="7"/>
      <c r="BB519" s="7"/>
      <c r="BC519" s="7"/>
      <c r="BD519" s="7"/>
      <c r="BE519" s="7"/>
      <c r="BF519" s="7"/>
      <c r="BG519" s="7"/>
    </row>
    <row r="520" spans="1:59">
      <c r="A520" s="7"/>
      <c r="B520" s="7"/>
      <c r="C520" s="7"/>
      <c r="D520" s="7"/>
      <c r="E520" s="7"/>
      <c r="F520" s="7"/>
      <c r="G520" s="7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  <c r="AA520" s="7"/>
      <c r="AB520" s="7"/>
      <c r="AC520" s="7"/>
      <c r="AD520" s="7"/>
      <c r="AE520" s="7"/>
      <c r="AF520" s="7"/>
      <c r="AG520" s="7"/>
      <c r="AH520" s="7"/>
      <c r="AI520" s="7"/>
      <c r="AJ520" s="7"/>
      <c r="AK520" s="7"/>
      <c r="AL520" s="7"/>
      <c r="AM520" s="7"/>
      <c r="AN520" s="7"/>
      <c r="AO520" s="7"/>
      <c r="AP520" s="7"/>
      <c r="AQ520" s="7"/>
      <c r="AR520" s="7"/>
      <c r="AS520" s="7"/>
      <c r="AT520" s="7"/>
      <c r="AU520" s="7"/>
      <c r="AV520" s="7"/>
      <c r="AW520" s="7"/>
      <c r="AX520" s="7"/>
      <c r="AY520" s="7"/>
      <c r="AZ520" s="7"/>
      <c r="BA520" s="7"/>
      <c r="BB520" s="7"/>
      <c r="BC520" s="7"/>
      <c r="BD520" s="7"/>
      <c r="BE520" s="7"/>
      <c r="BF520" s="7"/>
      <c r="BG520" s="7"/>
    </row>
    <row r="521" spans="1:59">
      <c r="A521" s="7"/>
      <c r="B521" s="7"/>
      <c r="C521" s="7"/>
      <c r="D521" s="7"/>
      <c r="E521" s="7"/>
      <c r="F521" s="7"/>
      <c r="G521" s="7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  <c r="AA521" s="7"/>
      <c r="AB521" s="7"/>
      <c r="AC521" s="7"/>
      <c r="AD521" s="7"/>
      <c r="AE521" s="7"/>
      <c r="AF521" s="7"/>
      <c r="AG521" s="7"/>
      <c r="AH521" s="7"/>
      <c r="AI521" s="7"/>
      <c r="AJ521" s="7"/>
      <c r="AK521" s="7"/>
      <c r="AL521" s="7"/>
      <c r="AM521" s="7"/>
      <c r="AN521" s="7"/>
      <c r="AO521" s="7"/>
      <c r="AP521" s="7"/>
      <c r="AQ521" s="7"/>
      <c r="AR521" s="7"/>
      <c r="AS521" s="7"/>
      <c r="AT521" s="7"/>
      <c r="AU521" s="7"/>
      <c r="AV521" s="7"/>
      <c r="AW521" s="7"/>
      <c r="AX521" s="7"/>
      <c r="AY521" s="7"/>
      <c r="AZ521" s="7"/>
      <c r="BA521" s="7"/>
      <c r="BB521" s="7"/>
      <c r="BC521" s="7"/>
      <c r="BD521" s="7"/>
      <c r="BE521" s="7"/>
      <c r="BF521" s="7"/>
      <c r="BG521" s="7"/>
    </row>
    <row r="522" spans="1:59">
      <c r="A522" s="7"/>
      <c r="B522" s="7"/>
      <c r="C522" s="7"/>
      <c r="D522" s="7"/>
      <c r="E522" s="7"/>
      <c r="F522" s="7"/>
      <c r="G522" s="7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  <c r="AA522" s="7"/>
      <c r="AB522" s="7"/>
      <c r="AC522" s="7"/>
      <c r="AD522" s="7"/>
      <c r="AE522" s="7"/>
      <c r="AF522" s="7"/>
      <c r="AG522" s="7"/>
      <c r="AH522" s="7"/>
      <c r="AI522" s="7"/>
      <c r="AJ522" s="7"/>
      <c r="AK522" s="7"/>
      <c r="AL522" s="7"/>
      <c r="AM522" s="7"/>
      <c r="AN522" s="7"/>
      <c r="AO522" s="7"/>
      <c r="AP522" s="7"/>
      <c r="AQ522" s="7"/>
      <c r="AR522" s="7"/>
      <c r="AS522" s="7"/>
      <c r="AT522" s="7"/>
      <c r="AU522" s="7"/>
      <c r="AV522" s="7"/>
      <c r="AW522" s="7"/>
      <c r="AX522" s="7"/>
      <c r="AY522" s="7"/>
      <c r="AZ522" s="7"/>
      <c r="BA522" s="7"/>
      <c r="BB522" s="7"/>
      <c r="BC522" s="7"/>
      <c r="BD522" s="7"/>
      <c r="BE522" s="7"/>
      <c r="BF522" s="7"/>
      <c r="BG522" s="7"/>
    </row>
    <row r="523" spans="1:59">
      <c r="A523" s="7"/>
      <c r="B523" s="7"/>
      <c r="C523" s="7"/>
      <c r="D523" s="7"/>
      <c r="E523" s="7"/>
      <c r="F523" s="7"/>
      <c r="G523" s="7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  <c r="AA523" s="7"/>
      <c r="AB523" s="7"/>
      <c r="AC523" s="7"/>
      <c r="AD523" s="7"/>
      <c r="AE523" s="7"/>
      <c r="AF523" s="7"/>
      <c r="AG523" s="7"/>
      <c r="AH523" s="7"/>
      <c r="AI523" s="7"/>
      <c r="AJ523" s="7"/>
      <c r="AK523" s="7"/>
      <c r="AL523" s="7"/>
      <c r="AM523" s="7"/>
      <c r="AN523" s="7"/>
      <c r="AO523" s="7"/>
      <c r="AP523" s="7"/>
      <c r="AQ523" s="7"/>
      <c r="AR523" s="7"/>
      <c r="AS523" s="7"/>
      <c r="AT523" s="7"/>
      <c r="AU523" s="7"/>
      <c r="AV523" s="7"/>
      <c r="AW523" s="7"/>
      <c r="AX523" s="7"/>
      <c r="AY523" s="7"/>
      <c r="AZ523" s="7"/>
      <c r="BA523" s="7"/>
      <c r="BB523" s="7"/>
      <c r="BC523" s="7"/>
      <c r="BD523" s="7"/>
      <c r="BE523" s="7"/>
      <c r="BF523" s="7"/>
      <c r="BG523" s="7"/>
    </row>
    <row r="524" spans="1:59">
      <c r="A524" s="7"/>
      <c r="B524" s="7"/>
      <c r="C524" s="7"/>
      <c r="D524" s="7"/>
      <c r="E524" s="7"/>
      <c r="F524" s="7"/>
      <c r="G524" s="7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  <c r="AA524" s="7"/>
      <c r="AB524" s="7"/>
      <c r="AC524" s="7"/>
      <c r="AD524" s="7"/>
      <c r="AE524" s="7"/>
      <c r="AF524" s="7"/>
      <c r="AG524" s="7"/>
      <c r="AH524" s="7"/>
      <c r="AI524" s="7"/>
      <c r="AJ524" s="7"/>
      <c r="AK524" s="7"/>
      <c r="AL524" s="7"/>
      <c r="AM524" s="7"/>
      <c r="AN524" s="7"/>
      <c r="AO524" s="7"/>
      <c r="AP524" s="7"/>
      <c r="AQ524" s="7"/>
      <c r="AR524" s="7"/>
      <c r="AS524" s="7"/>
      <c r="AT524" s="7"/>
      <c r="AU524" s="7"/>
      <c r="AV524" s="7"/>
      <c r="AW524" s="7"/>
      <c r="AX524" s="7"/>
      <c r="AY524" s="7"/>
      <c r="AZ524" s="7"/>
      <c r="BA524" s="7"/>
      <c r="BB524" s="7"/>
      <c r="BC524" s="7"/>
      <c r="BD524" s="7"/>
      <c r="BE524" s="7"/>
      <c r="BF524" s="7"/>
      <c r="BG524" s="7"/>
    </row>
    <row r="525" spans="1:59">
      <c r="A525" s="7"/>
      <c r="B525" s="7"/>
      <c r="C525" s="7"/>
      <c r="D525" s="7"/>
      <c r="E525" s="7"/>
      <c r="F525" s="7"/>
      <c r="G525" s="7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  <c r="AA525" s="7"/>
      <c r="AB525" s="7"/>
      <c r="AC525" s="7"/>
      <c r="AD525" s="7"/>
      <c r="AE525" s="7"/>
      <c r="AF525" s="7"/>
      <c r="AG525" s="7"/>
      <c r="AH525" s="7"/>
      <c r="AI525" s="7"/>
      <c r="AJ525" s="7"/>
      <c r="AK525" s="7"/>
      <c r="AL525" s="7"/>
      <c r="AM525" s="7"/>
      <c r="AN525" s="7"/>
      <c r="AO525" s="7"/>
      <c r="AP525" s="7"/>
      <c r="AQ525" s="7"/>
      <c r="AR525" s="7"/>
      <c r="AS525" s="7"/>
      <c r="AT525" s="7"/>
      <c r="AU525" s="7"/>
      <c r="AV525" s="7"/>
      <c r="AW525" s="7"/>
      <c r="AX525" s="7"/>
      <c r="AY525" s="7"/>
      <c r="AZ525" s="7"/>
      <c r="BA525" s="7"/>
      <c r="BB525" s="7"/>
      <c r="BC525" s="7"/>
      <c r="BD525" s="7"/>
      <c r="BE525" s="7"/>
      <c r="BF525" s="7"/>
      <c r="BG525" s="7"/>
    </row>
    <row r="526" spans="1:59">
      <c r="A526" s="7"/>
      <c r="B526" s="7"/>
      <c r="C526" s="7"/>
      <c r="D526" s="7"/>
      <c r="E526" s="7"/>
      <c r="F526" s="7"/>
      <c r="G526" s="7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  <c r="AA526" s="7"/>
      <c r="AB526" s="7"/>
      <c r="AC526" s="7"/>
      <c r="AD526" s="7"/>
      <c r="AE526" s="7"/>
      <c r="AF526" s="7"/>
      <c r="AG526" s="7"/>
      <c r="AH526" s="7"/>
      <c r="AI526" s="7"/>
      <c r="AJ526" s="7"/>
      <c r="AK526" s="7"/>
      <c r="AL526" s="7"/>
      <c r="AM526" s="7"/>
      <c r="AN526" s="7"/>
      <c r="AO526" s="7"/>
      <c r="AP526" s="7"/>
      <c r="AQ526" s="7"/>
      <c r="AR526" s="7"/>
      <c r="AS526" s="7"/>
      <c r="AT526" s="7"/>
      <c r="AU526" s="7"/>
      <c r="AV526" s="7"/>
      <c r="AW526" s="7"/>
      <c r="AX526" s="7"/>
      <c r="AY526" s="7"/>
      <c r="AZ526" s="7"/>
      <c r="BA526" s="7"/>
      <c r="BB526" s="7"/>
      <c r="BC526" s="7"/>
      <c r="BD526" s="7"/>
      <c r="BE526" s="7"/>
      <c r="BF526" s="7"/>
      <c r="BG526" s="7"/>
    </row>
    <row r="527" spans="1:59">
      <c r="A527" s="7"/>
      <c r="B527" s="7"/>
      <c r="C527" s="7"/>
      <c r="D527" s="7"/>
      <c r="E527" s="7"/>
      <c r="F527" s="7"/>
      <c r="G527" s="7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  <c r="AA527" s="7"/>
      <c r="AB527" s="7"/>
      <c r="AC527" s="7"/>
      <c r="AD527" s="7"/>
      <c r="AE527" s="7"/>
      <c r="AF527" s="7"/>
      <c r="AG527" s="7"/>
      <c r="AH527" s="7"/>
      <c r="AI527" s="7"/>
      <c r="AJ527" s="7"/>
      <c r="AK527" s="7"/>
      <c r="AL527" s="7"/>
      <c r="AM527" s="7"/>
      <c r="AN527" s="7"/>
      <c r="AO527" s="7"/>
      <c r="AP527" s="7"/>
      <c r="AQ527" s="7"/>
      <c r="AR527" s="7"/>
      <c r="AS527" s="7"/>
      <c r="AT527" s="7"/>
      <c r="AU527" s="7"/>
      <c r="AV527" s="7"/>
      <c r="AW527" s="7"/>
      <c r="AX527" s="7"/>
      <c r="AY527" s="7"/>
      <c r="AZ527" s="7"/>
      <c r="BA527" s="7"/>
      <c r="BB527" s="7"/>
      <c r="BC527" s="7"/>
      <c r="BD527" s="7"/>
      <c r="BE527" s="7"/>
      <c r="BF527" s="7"/>
      <c r="BG527" s="7"/>
    </row>
    <row r="528" spans="1:59">
      <c r="A528" s="7"/>
      <c r="B528" s="7"/>
      <c r="C528" s="7"/>
      <c r="D528" s="7"/>
      <c r="E528" s="7"/>
      <c r="F528" s="7"/>
      <c r="G528" s="7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  <c r="AA528" s="7"/>
      <c r="AB528" s="7"/>
      <c r="AC528" s="7"/>
      <c r="AD528" s="7"/>
      <c r="AE528" s="7"/>
      <c r="AF528" s="7"/>
      <c r="AG528" s="7"/>
      <c r="AH528" s="7"/>
      <c r="AI528" s="7"/>
      <c r="AJ528" s="7"/>
      <c r="AK528" s="7"/>
      <c r="AL528" s="7"/>
      <c r="AM528" s="7"/>
      <c r="AN528" s="7"/>
      <c r="AO528" s="7"/>
      <c r="AP528" s="7"/>
      <c r="AQ528" s="7"/>
      <c r="AR528" s="7"/>
      <c r="AS528" s="7"/>
      <c r="AT528" s="7"/>
      <c r="AU528" s="7"/>
      <c r="AV528" s="7"/>
      <c r="AW528" s="7"/>
      <c r="AX528" s="7"/>
      <c r="AY528" s="7"/>
      <c r="AZ528" s="7"/>
      <c r="BA528" s="7"/>
      <c r="BB528" s="7"/>
      <c r="BC528" s="7"/>
      <c r="BD528" s="7"/>
      <c r="BE528" s="7"/>
      <c r="BF528" s="7"/>
      <c r="BG528" s="7"/>
    </row>
    <row r="529" spans="1:59">
      <c r="A529" s="7"/>
      <c r="B529" s="7"/>
      <c r="C529" s="7"/>
      <c r="D529" s="7"/>
      <c r="E529" s="7"/>
      <c r="F529" s="7"/>
      <c r="G529" s="7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  <c r="AA529" s="7"/>
      <c r="AB529" s="7"/>
      <c r="AC529" s="7"/>
      <c r="AD529" s="7"/>
      <c r="AE529" s="7"/>
      <c r="AF529" s="7"/>
      <c r="AG529" s="7"/>
      <c r="AH529" s="7"/>
      <c r="AI529" s="7"/>
      <c r="AJ529" s="7"/>
      <c r="AK529" s="7"/>
      <c r="AL529" s="7"/>
      <c r="AM529" s="7"/>
      <c r="AN529" s="7"/>
      <c r="AO529" s="7"/>
      <c r="AP529" s="7"/>
      <c r="AQ529" s="7"/>
      <c r="AR529" s="7"/>
      <c r="AS529" s="7"/>
      <c r="AT529" s="7"/>
      <c r="AU529" s="7"/>
      <c r="AV529" s="7"/>
      <c r="AW529" s="7"/>
      <c r="AX529" s="7"/>
      <c r="AY529" s="7"/>
      <c r="AZ529" s="7"/>
      <c r="BA529" s="7"/>
      <c r="BB529" s="7"/>
      <c r="BC529" s="7"/>
      <c r="BD529" s="7"/>
      <c r="BE529" s="7"/>
      <c r="BF529" s="7"/>
      <c r="BG529" s="7"/>
    </row>
    <row r="530" spans="1:59">
      <c r="A530" s="7"/>
      <c r="B530" s="7"/>
      <c r="C530" s="7"/>
      <c r="D530" s="7"/>
      <c r="E530" s="7"/>
      <c r="F530" s="7"/>
      <c r="G530" s="7"/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  <c r="AA530" s="7"/>
      <c r="AB530" s="7"/>
      <c r="AC530" s="7"/>
      <c r="AD530" s="7"/>
      <c r="AE530" s="7"/>
      <c r="AF530" s="7"/>
      <c r="AG530" s="7"/>
      <c r="AH530" s="7"/>
      <c r="AI530" s="7"/>
      <c r="AJ530" s="7"/>
      <c r="AK530" s="7"/>
      <c r="AL530" s="7"/>
      <c r="AM530" s="7"/>
      <c r="AN530" s="7"/>
      <c r="AO530" s="7"/>
      <c r="AP530" s="7"/>
      <c r="AQ530" s="7"/>
      <c r="AR530" s="7"/>
      <c r="AS530" s="7"/>
      <c r="AT530" s="7"/>
      <c r="AU530" s="7"/>
      <c r="AV530" s="7"/>
      <c r="AW530" s="7"/>
      <c r="AX530" s="7"/>
      <c r="AY530" s="7"/>
      <c r="AZ530" s="7"/>
      <c r="BA530" s="7"/>
      <c r="BB530" s="7"/>
      <c r="BC530" s="7"/>
      <c r="BD530" s="7"/>
      <c r="BE530" s="7"/>
      <c r="BF530" s="7"/>
      <c r="BG530" s="7"/>
    </row>
    <row r="531" spans="1:59">
      <c r="A531" s="7"/>
      <c r="B531" s="7"/>
      <c r="C531" s="7"/>
      <c r="D531" s="7"/>
      <c r="E531" s="7"/>
      <c r="F531" s="7"/>
      <c r="G531" s="7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  <c r="AA531" s="7"/>
      <c r="AB531" s="7"/>
      <c r="AC531" s="7"/>
      <c r="AD531" s="7"/>
      <c r="AE531" s="7"/>
      <c r="AF531" s="7"/>
      <c r="AG531" s="7"/>
      <c r="AH531" s="7"/>
      <c r="AI531" s="7"/>
      <c r="AJ531" s="7"/>
      <c r="AK531" s="7"/>
      <c r="AL531" s="7"/>
      <c r="AM531" s="7"/>
      <c r="AN531" s="7"/>
      <c r="AO531" s="7"/>
      <c r="AP531" s="7"/>
      <c r="AQ531" s="7"/>
      <c r="AR531" s="7"/>
      <c r="AS531" s="7"/>
      <c r="AT531" s="7"/>
      <c r="AU531" s="7"/>
      <c r="AV531" s="7"/>
      <c r="AW531" s="7"/>
      <c r="AX531" s="7"/>
      <c r="AY531" s="7"/>
      <c r="AZ531" s="7"/>
      <c r="BA531" s="7"/>
      <c r="BB531" s="7"/>
      <c r="BC531" s="7"/>
      <c r="BD531" s="7"/>
      <c r="BE531" s="7"/>
      <c r="BF531" s="7"/>
      <c r="BG531" s="7"/>
    </row>
    <row r="532" spans="1:59">
      <c r="A532" s="7"/>
      <c r="B532" s="7"/>
      <c r="C532" s="7"/>
      <c r="D532" s="7"/>
      <c r="E532" s="7"/>
      <c r="F532" s="7"/>
      <c r="G532" s="7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  <c r="AA532" s="7"/>
      <c r="AB532" s="7"/>
      <c r="AC532" s="7"/>
      <c r="AD532" s="7"/>
      <c r="AE532" s="7"/>
      <c r="AF532" s="7"/>
      <c r="AG532" s="7"/>
      <c r="AH532" s="7"/>
      <c r="AI532" s="7"/>
      <c r="AJ532" s="7"/>
      <c r="AK532" s="7"/>
      <c r="AL532" s="7"/>
      <c r="AM532" s="7"/>
      <c r="AN532" s="7"/>
      <c r="AO532" s="7"/>
      <c r="AP532" s="7"/>
      <c r="AQ532" s="7"/>
      <c r="AR532" s="7"/>
      <c r="AS532" s="7"/>
      <c r="AT532" s="7"/>
      <c r="AU532" s="7"/>
      <c r="AV532" s="7"/>
      <c r="AW532" s="7"/>
      <c r="AX532" s="7"/>
      <c r="AY532" s="7"/>
      <c r="AZ532" s="7"/>
      <c r="BA532" s="7"/>
      <c r="BB532" s="7"/>
      <c r="BC532" s="7"/>
      <c r="BD532" s="7"/>
      <c r="BE532" s="7"/>
      <c r="BF532" s="7"/>
      <c r="BG532" s="7"/>
    </row>
    <row r="533" spans="1:59">
      <c r="A533" s="7"/>
      <c r="B533" s="7"/>
      <c r="C533" s="7"/>
      <c r="D533" s="7"/>
      <c r="E533" s="7"/>
      <c r="F533" s="7"/>
      <c r="G533" s="7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  <c r="AA533" s="7"/>
      <c r="AB533" s="7"/>
      <c r="AC533" s="7"/>
      <c r="AD533" s="7"/>
      <c r="AE533" s="7"/>
      <c r="AF533" s="7"/>
      <c r="AG533" s="7"/>
      <c r="AH533" s="7"/>
      <c r="AI533" s="7"/>
      <c r="AJ533" s="7"/>
      <c r="AK533" s="7"/>
      <c r="AL533" s="7"/>
      <c r="AM533" s="7"/>
      <c r="AN533" s="7"/>
      <c r="AO533" s="7"/>
      <c r="AP533" s="7"/>
      <c r="AQ533" s="7"/>
      <c r="AR533" s="7"/>
      <c r="AS533" s="7"/>
      <c r="AT533" s="7"/>
      <c r="AU533" s="7"/>
      <c r="AV533" s="7"/>
      <c r="AW533" s="7"/>
      <c r="AX533" s="7"/>
      <c r="AY533" s="7"/>
      <c r="AZ533" s="7"/>
      <c r="BA533" s="7"/>
      <c r="BB533" s="7"/>
      <c r="BC533" s="7"/>
      <c r="BD533" s="7"/>
      <c r="BE533" s="7"/>
      <c r="BF533" s="7"/>
      <c r="BG533" s="7"/>
    </row>
    <row r="534" spans="1:59">
      <c r="A534" s="7"/>
      <c r="B534" s="7"/>
      <c r="C534" s="7"/>
      <c r="D534" s="7"/>
      <c r="E534" s="7"/>
      <c r="F534" s="7"/>
      <c r="G534" s="7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  <c r="AA534" s="7"/>
      <c r="AB534" s="7"/>
      <c r="AC534" s="7"/>
      <c r="AD534" s="7"/>
      <c r="AE534" s="7"/>
      <c r="AF534" s="7"/>
      <c r="AG534" s="7"/>
      <c r="AH534" s="7"/>
      <c r="AI534" s="7"/>
      <c r="AJ534" s="7"/>
      <c r="AK534" s="7"/>
      <c r="AL534" s="7"/>
      <c r="AM534" s="7"/>
      <c r="AN534" s="7"/>
      <c r="AO534" s="7"/>
      <c r="AP534" s="7"/>
      <c r="AQ534" s="7"/>
      <c r="AR534" s="7"/>
      <c r="AS534" s="7"/>
      <c r="AT534" s="7"/>
      <c r="AU534" s="7"/>
      <c r="AV534" s="7"/>
      <c r="AW534" s="7"/>
      <c r="AX534" s="7"/>
      <c r="AY534" s="7"/>
      <c r="AZ534" s="7"/>
      <c r="BA534" s="7"/>
      <c r="BB534" s="7"/>
      <c r="BC534" s="7"/>
      <c r="BD534" s="7"/>
      <c r="BE534" s="7"/>
      <c r="BF534" s="7"/>
      <c r="BG534" s="7"/>
    </row>
    <row r="535" spans="1:59">
      <c r="A535" s="7"/>
      <c r="B535" s="7"/>
      <c r="C535" s="7"/>
      <c r="D535" s="7"/>
      <c r="E535" s="7"/>
      <c r="F535" s="7"/>
      <c r="G535" s="7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  <c r="AA535" s="7"/>
      <c r="AB535" s="7"/>
      <c r="AC535" s="7"/>
      <c r="AD535" s="7"/>
      <c r="AE535" s="7"/>
      <c r="AF535" s="7"/>
      <c r="AG535" s="7"/>
      <c r="AH535" s="7"/>
      <c r="AI535" s="7"/>
      <c r="AJ535" s="7"/>
      <c r="AK535" s="7"/>
      <c r="AL535" s="7"/>
      <c r="AM535" s="7"/>
      <c r="AN535" s="7"/>
      <c r="AO535" s="7"/>
      <c r="AP535" s="7"/>
      <c r="AQ535" s="7"/>
      <c r="AR535" s="7"/>
      <c r="AS535" s="7"/>
      <c r="AT535" s="7"/>
      <c r="AU535" s="7"/>
      <c r="AV535" s="7"/>
      <c r="AW535" s="7"/>
      <c r="AX535" s="7"/>
      <c r="AY535" s="7"/>
      <c r="AZ535" s="7"/>
      <c r="BA535" s="7"/>
      <c r="BB535" s="7"/>
      <c r="BC535" s="7"/>
      <c r="BD535" s="7"/>
      <c r="BE535" s="7"/>
      <c r="BF535" s="7"/>
      <c r="BG535" s="7"/>
    </row>
    <row r="536" spans="1:59">
      <c r="A536" s="7"/>
      <c r="B536" s="7"/>
      <c r="C536" s="7"/>
      <c r="D536" s="7"/>
      <c r="E536" s="7"/>
      <c r="F536" s="7"/>
      <c r="G536" s="7"/>
      <c r="H536" s="7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  <c r="AA536" s="7"/>
      <c r="AB536" s="7"/>
      <c r="AC536" s="7"/>
      <c r="AD536" s="7"/>
      <c r="AE536" s="7"/>
      <c r="AF536" s="7"/>
      <c r="AG536" s="7"/>
      <c r="AH536" s="7"/>
      <c r="AI536" s="7"/>
      <c r="AJ536" s="7"/>
      <c r="AK536" s="7"/>
      <c r="AL536" s="7"/>
      <c r="AM536" s="7"/>
      <c r="AN536" s="7"/>
      <c r="AO536" s="7"/>
      <c r="AP536" s="7"/>
      <c r="AQ536" s="7"/>
      <c r="AR536" s="7"/>
      <c r="AS536" s="7"/>
      <c r="AT536" s="7"/>
      <c r="AU536" s="7"/>
      <c r="AV536" s="7"/>
      <c r="AW536" s="7"/>
      <c r="AX536" s="7"/>
      <c r="AY536" s="7"/>
      <c r="AZ536" s="7"/>
      <c r="BA536" s="7"/>
      <c r="BB536" s="7"/>
      <c r="BC536" s="7"/>
      <c r="BD536" s="7"/>
      <c r="BE536" s="7"/>
      <c r="BF536" s="7"/>
      <c r="BG536" s="7"/>
    </row>
    <row r="537" spans="1:59">
      <c r="A537" s="7"/>
      <c r="B537" s="7"/>
      <c r="C537" s="7"/>
      <c r="D537" s="7"/>
      <c r="E537" s="7"/>
      <c r="F537" s="7"/>
      <c r="G537" s="7"/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  <c r="AA537" s="7"/>
      <c r="AB537" s="7"/>
      <c r="AC537" s="7"/>
      <c r="AD537" s="7"/>
      <c r="AE537" s="7"/>
      <c r="AF537" s="7"/>
      <c r="AG537" s="7"/>
      <c r="AH537" s="7"/>
      <c r="AI537" s="7"/>
      <c r="AJ537" s="7"/>
      <c r="AK537" s="7"/>
      <c r="AL537" s="7"/>
      <c r="AM537" s="7"/>
      <c r="AN537" s="7"/>
      <c r="AO537" s="7"/>
      <c r="AP537" s="7"/>
      <c r="AQ537" s="7"/>
      <c r="AR537" s="7"/>
      <c r="AS537" s="7"/>
      <c r="AT537" s="7"/>
      <c r="AU537" s="7"/>
      <c r="AV537" s="7"/>
      <c r="AW537" s="7"/>
      <c r="AX537" s="7"/>
      <c r="AY537" s="7"/>
      <c r="AZ537" s="7"/>
      <c r="BA537" s="7"/>
      <c r="BB537" s="7"/>
      <c r="BC537" s="7"/>
      <c r="BD537" s="7"/>
      <c r="BE537" s="7"/>
      <c r="BF537" s="7"/>
      <c r="BG537" s="7"/>
    </row>
    <row r="538" spans="1:59">
      <c r="A538" s="7"/>
      <c r="B538" s="7"/>
      <c r="C538" s="7"/>
      <c r="D538" s="7"/>
      <c r="E538" s="7"/>
      <c r="F538" s="7"/>
      <c r="G538" s="7"/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  <c r="AA538" s="7"/>
      <c r="AB538" s="7"/>
      <c r="AC538" s="7"/>
      <c r="AD538" s="7"/>
      <c r="AE538" s="7"/>
      <c r="AF538" s="7"/>
      <c r="AG538" s="7"/>
      <c r="AH538" s="7"/>
      <c r="AI538" s="7"/>
      <c r="AJ538" s="7"/>
      <c r="AK538" s="7"/>
      <c r="AL538" s="7"/>
      <c r="AM538" s="7"/>
      <c r="AN538" s="7"/>
      <c r="AO538" s="7"/>
      <c r="AP538" s="7"/>
      <c r="AQ538" s="7"/>
      <c r="AR538" s="7"/>
      <c r="AS538" s="7"/>
      <c r="AT538" s="7"/>
      <c r="AU538" s="7"/>
      <c r="AV538" s="7"/>
      <c r="AW538" s="7"/>
      <c r="AX538" s="7"/>
      <c r="AY538" s="7"/>
      <c r="AZ538" s="7"/>
      <c r="BA538" s="7"/>
      <c r="BB538" s="7"/>
      <c r="BC538" s="7"/>
      <c r="BD538" s="7"/>
      <c r="BE538" s="7"/>
      <c r="BF538" s="7"/>
      <c r="BG538" s="7"/>
    </row>
    <row r="539" spans="1:59">
      <c r="A539" s="7"/>
      <c r="B539" s="7"/>
      <c r="C539" s="7"/>
      <c r="D539" s="7"/>
      <c r="E539" s="7"/>
      <c r="F539" s="7"/>
      <c r="G539" s="7"/>
      <c r="H539" s="7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  <c r="AA539" s="7"/>
      <c r="AB539" s="7"/>
      <c r="AC539" s="7"/>
      <c r="AD539" s="7"/>
      <c r="AE539" s="7"/>
      <c r="AF539" s="7"/>
      <c r="AG539" s="7"/>
      <c r="AH539" s="7"/>
      <c r="AI539" s="7"/>
      <c r="AJ539" s="7"/>
      <c r="AK539" s="7"/>
      <c r="AL539" s="7"/>
      <c r="AM539" s="7"/>
      <c r="AN539" s="7"/>
      <c r="AO539" s="7"/>
      <c r="AP539" s="7"/>
      <c r="AQ539" s="7"/>
      <c r="AR539" s="7"/>
      <c r="AS539" s="7"/>
      <c r="AT539" s="7"/>
      <c r="AU539" s="7"/>
      <c r="AV539" s="7"/>
      <c r="AW539" s="7"/>
      <c r="AX539" s="7"/>
      <c r="AY539" s="7"/>
      <c r="AZ539" s="7"/>
      <c r="BA539" s="7"/>
      <c r="BB539" s="7"/>
      <c r="BC539" s="7"/>
      <c r="BD539" s="7"/>
      <c r="BE539" s="7"/>
      <c r="BF539" s="7"/>
      <c r="BG539" s="7"/>
    </row>
    <row r="540" spans="1:59">
      <c r="A540" s="7"/>
      <c r="B540" s="7"/>
      <c r="C540" s="7"/>
      <c r="D540" s="7"/>
      <c r="E540" s="7"/>
      <c r="F540" s="7"/>
      <c r="G540" s="7"/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  <c r="AA540" s="7"/>
      <c r="AB540" s="7"/>
      <c r="AC540" s="7"/>
      <c r="AD540" s="7"/>
      <c r="AE540" s="7"/>
      <c r="AF540" s="7"/>
      <c r="AG540" s="7"/>
      <c r="AH540" s="7"/>
      <c r="AI540" s="7"/>
      <c r="AJ540" s="7"/>
      <c r="AK540" s="7"/>
      <c r="AL540" s="7"/>
      <c r="AM540" s="7"/>
      <c r="AN540" s="7"/>
      <c r="AO540" s="7"/>
      <c r="AP540" s="7"/>
      <c r="AQ540" s="7"/>
      <c r="AR540" s="7"/>
      <c r="AS540" s="7"/>
      <c r="AT540" s="7"/>
      <c r="AU540" s="7"/>
      <c r="AV540" s="7"/>
      <c r="AW540" s="7"/>
      <c r="AX540" s="7"/>
      <c r="AY540" s="7"/>
      <c r="AZ540" s="7"/>
      <c r="BA540" s="7"/>
      <c r="BB540" s="7"/>
      <c r="BC540" s="7"/>
      <c r="BD540" s="7"/>
      <c r="BE540" s="7"/>
      <c r="BF540" s="7"/>
      <c r="BG540" s="7"/>
    </row>
    <row r="541" spans="1:59">
      <c r="A541" s="7"/>
      <c r="B541" s="7"/>
      <c r="C541" s="7"/>
      <c r="D541" s="7"/>
      <c r="E541" s="7"/>
      <c r="F541" s="7"/>
      <c r="G541" s="7"/>
      <c r="H541" s="7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  <c r="AA541" s="7"/>
      <c r="AB541" s="7"/>
      <c r="AC541" s="7"/>
      <c r="AD541" s="7"/>
      <c r="AE541" s="7"/>
      <c r="AF541" s="7"/>
      <c r="AG541" s="7"/>
      <c r="AH541" s="7"/>
      <c r="AI541" s="7"/>
      <c r="AJ541" s="7"/>
      <c r="AK541" s="7"/>
      <c r="AL541" s="7"/>
      <c r="AM541" s="7"/>
      <c r="AN541" s="7"/>
      <c r="AO541" s="7"/>
      <c r="AP541" s="7"/>
      <c r="AQ541" s="7"/>
      <c r="AR541" s="7"/>
      <c r="AS541" s="7"/>
      <c r="AT541" s="7"/>
      <c r="AU541" s="7"/>
      <c r="AV541" s="7"/>
      <c r="AW541" s="7"/>
      <c r="AX541" s="7"/>
      <c r="AY541" s="7"/>
      <c r="AZ541" s="7"/>
      <c r="BA541" s="7"/>
      <c r="BB541" s="7"/>
      <c r="BC541" s="7"/>
      <c r="BD541" s="7"/>
      <c r="BE541" s="7"/>
      <c r="BF541" s="7"/>
      <c r="BG541" s="7"/>
    </row>
    <row r="542" spans="1:59">
      <c r="A542" s="7"/>
      <c r="B542" s="7"/>
      <c r="C542" s="7"/>
      <c r="D542" s="7"/>
      <c r="E542" s="7"/>
      <c r="F542" s="7"/>
      <c r="G542" s="7"/>
      <c r="H542" s="7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  <c r="AA542" s="7"/>
      <c r="AB542" s="7"/>
      <c r="AC542" s="7"/>
      <c r="AD542" s="7"/>
      <c r="AE542" s="7"/>
      <c r="AF542" s="7"/>
      <c r="AG542" s="7"/>
      <c r="AH542" s="7"/>
      <c r="AI542" s="7"/>
      <c r="AJ542" s="7"/>
      <c r="AK542" s="7"/>
      <c r="AL542" s="7"/>
      <c r="AM542" s="7"/>
      <c r="AN542" s="7"/>
      <c r="AO542" s="7"/>
      <c r="AP542" s="7"/>
      <c r="AQ542" s="7"/>
      <c r="AR542" s="7"/>
      <c r="AS542" s="7"/>
      <c r="AT542" s="7"/>
      <c r="AU542" s="7"/>
      <c r="AV542" s="7"/>
      <c r="AW542" s="7"/>
      <c r="AX542" s="7"/>
      <c r="AY542" s="7"/>
      <c r="AZ542" s="7"/>
      <c r="BA542" s="7"/>
      <c r="BB542" s="7"/>
      <c r="BC542" s="7"/>
      <c r="BD542" s="7"/>
      <c r="BE542" s="7"/>
      <c r="BF542" s="7"/>
      <c r="BG542" s="7"/>
    </row>
    <row r="543" spans="1:59">
      <c r="A543" s="7"/>
      <c r="B543" s="7"/>
      <c r="C543" s="7"/>
      <c r="D543" s="7"/>
      <c r="E543" s="7"/>
      <c r="F543" s="7"/>
      <c r="G543" s="7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  <c r="AA543" s="7"/>
      <c r="AB543" s="7"/>
      <c r="AC543" s="7"/>
      <c r="AD543" s="7"/>
      <c r="AE543" s="7"/>
      <c r="AF543" s="7"/>
      <c r="AG543" s="7"/>
      <c r="AH543" s="7"/>
      <c r="AI543" s="7"/>
      <c r="AJ543" s="7"/>
      <c r="AK543" s="7"/>
      <c r="AL543" s="7"/>
      <c r="AM543" s="7"/>
      <c r="AN543" s="7"/>
      <c r="AO543" s="7"/>
      <c r="AP543" s="7"/>
      <c r="AQ543" s="7"/>
      <c r="AR543" s="7"/>
      <c r="AS543" s="7"/>
      <c r="AT543" s="7"/>
      <c r="AU543" s="7"/>
      <c r="AV543" s="7"/>
      <c r="AW543" s="7"/>
      <c r="AX543" s="7"/>
      <c r="AY543" s="7"/>
      <c r="AZ543" s="7"/>
      <c r="BA543" s="7"/>
      <c r="BB543" s="7"/>
      <c r="BC543" s="7"/>
      <c r="BD543" s="7"/>
      <c r="BE543" s="7"/>
      <c r="BF543" s="7"/>
      <c r="BG543" s="7"/>
    </row>
    <row r="544" spans="1:59">
      <c r="A544" s="7"/>
      <c r="B544" s="7"/>
      <c r="C544" s="7"/>
      <c r="D544" s="7"/>
      <c r="E544" s="7"/>
      <c r="F544" s="7"/>
      <c r="G544" s="7"/>
      <c r="H544" s="7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  <c r="AA544" s="7"/>
      <c r="AB544" s="7"/>
      <c r="AC544" s="7"/>
      <c r="AD544" s="7"/>
      <c r="AE544" s="7"/>
      <c r="AF544" s="7"/>
      <c r="AG544" s="7"/>
      <c r="AH544" s="7"/>
      <c r="AI544" s="7"/>
      <c r="AJ544" s="7"/>
      <c r="AK544" s="7"/>
      <c r="AL544" s="7"/>
      <c r="AM544" s="7"/>
      <c r="AN544" s="7"/>
      <c r="AO544" s="7"/>
      <c r="AP544" s="7"/>
      <c r="AQ544" s="7"/>
      <c r="AR544" s="7"/>
      <c r="AS544" s="7"/>
      <c r="AT544" s="7"/>
      <c r="AU544" s="7"/>
      <c r="AV544" s="7"/>
      <c r="AW544" s="7"/>
      <c r="AX544" s="7"/>
      <c r="AY544" s="7"/>
      <c r="AZ544" s="7"/>
      <c r="BA544" s="7"/>
      <c r="BB544" s="7"/>
      <c r="BC544" s="7"/>
      <c r="BD544" s="7"/>
      <c r="BE544" s="7"/>
      <c r="BF544" s="7"/>
      <c r="BG544" s="7"/>
    </row>
    <row r="545" spans="1:59">
      <c r="A545" s="7"/>
      <c r="B545" s="7"/>
      <c r="C545" s="7"/>
      <c r="D545" s="7"/>
      <c r="E545" s="7"/>
      <c r="F545" s="7"/>
      <c r="G545" s="7"/>
      <c r="H545" s="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  <c r="AA545" s="7"/>
      <c r="AB545" s="7"/>
      <c r="AC545" s="7"/>
      <c r="AD545" s="7"/>
      <c r="AE545" s="7"/>
      <c r="AF545" s="7"/>
      <c r="AG545" s="7"/>
      <c r="AH545" s="7"/>
      <c r="AI545" s="7"/>
      <c r="AJ545" s="7"/>
      <c r="AK545" s="7"/>
      <c r="AL545" s="7"/>
      <c r="AM545" s="7"/>
      <c r="AN545" s="7"/>
      <c r="AO545" s="7"/>
      <c r="AP545" s="7"/>
      <c r="AQ545" s="7"/>
      <c r="AR545" s="7"/>
      <c r="AS545" s="7"/>
      <c r="AT545" s="7"/>
      <c r="AU545" s="7"/>
      <c r="AV545" s="7"/>
      <c r="AW545" s="7"/>
      <c r="AX545" s="7"/>
      <c r="AY545" s="7"/>
      <c r="AZ545" s="7"/>
      <c r="BA545" s="7"/>
      <c r="BB545" s="7"/>
      <c r="BC545" s="7"/>
      <c r="BD545" s="7"/>
      <c r="BE545" s="7"/>
      <c r="BF545" s="7"/>
      <c r="BG545" s="7"/>
    </row>
    <row r="546" spans="1:59">
      <c r="A546" s="7"/>
      <c r="B546" s="7"/>
      <c r="C546" s="7"/>
      <c r="D546" s="7"/>
      <c r="E546" s="7"/>
      <c r="F546" s="7"/>
      <c r="G546" s="7"/>
      <c r="H546" s="7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  <c r="AA546" s="7"/>
      <c r="AB546" s="7"/>
      <c r="AC546" s="7"/>
      <c r="AD546" s="7"/>
      <c r="AE546" s="7"/>
      <c r="AF546" s="7"/>
      <c r="AG546" s="7"/>
      <c r="AH546" s="7"/>
      <c r="AI546" s="7"/>
      <c r="AJ546" s="7"/>
      <c r="AK546" s="7"/>
      <c r="AL546" s="7"/>
      <c r="AM546" s="7"/>
      <c r="AN546" s="7"/>
      <c r="AO546" s="7"/>
      <c r="AP546" s="7"/>
      <c r="AQ546" s="7"/>
      <c r="AR546" s="7"/>
      <c r="AS546" s="7"/>
      <c r="AT546" s="7"/>
      <c r="AU546" s="7"/>
      <c r="AV546" s="7"/>
      <c r="AW546" s="7"/>
      <c r="AX546" s="7"/>
      <c r="AY546" s="7"/>
      <c r="AZ546" s="7"/>
      <c r="BA546" s="7"/>
      <c r="BB546" s="7"/>
      <c r="BC546" s="7"/>
      <c r="BD546" s="7"/>
      <c r="BE546" s="7"/>
      <c r="BF546" s="7"/>
      <c r="BG546" s="7"/>
    </row>
    <row r="547" spans="1:59">
      <c r="A547" s="7"/>
      <c r="B547" s="7"/>
      <c r="C547" s="7"/>
      <c r="D547" s="7"/>
      <c r="E547" s="7"/>
      <c r="F547" s="7"/>
      <c r="G547" s="7"/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  <c r="AA547" s="7"/>
      <c r="AB547" s="7"/>
      <c r="AC547" s="7"/>
      <c r="AD547" s="7"/>
      <c r="AE547" s="7"/>
      <c r="AF547" s="7"/>
      <c r="AG547" s="7"/>
      <c r="AH547" s="7"/>
      <c r="AI547" s="7"/>
      <c r="AJ547" s="7"/>
      <c r="AK547" s="7"/>
      <c r="AL547" s="7"/>
      <c r="AM547" s="7"/>
      <c r="AN547" s="7"/>
      <c r="AO547" s="7"/>
      <c r="AP547" s="7"/>
      <c r="AQ547" s="7"/>
      <c r="AR547" s="7"/>
      <c r="AS547" s="7"/>
      <c r="AT547" s="7"/>
      <c r="AU547" s="7"/>
      <c r="AV547" s="7"/>
      <c r="AW547" s="7"/>
      <c r="AX547" s="7"/>
      <c r="AY547" s="7"/>
      <c r="AZ547" s="7"/>
      <c r="BA547" s="7"/>
      <c r="BB547" s="7"/>
      <c r="BC547" s="7"/>
      <c r="BD547" s="7"/>
      <c r="BE547" s="7"/>
      <c r="BF547" s="7"/>
      <c r="BG547" s="7"/>
    </row>
    <row r="548" spans="1:59">
      <c r="A548" s="7"/>
      <c r="B548" s="7"/>
      <c r="C548" s="7"/>
      <c r="D548" s="7"/>
      <c r="E548" s="7"/>
      <c r="F548" s="7"/>
      <c r="G548" s="7"/>
      <c r="H548" s="7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  <c r="AA548" s="7"/>
      <c r="AB548" s="7"/>
      <c r="AC548" s="7"/>
      <c r="AD548" s="7"/>
      <c r="AE548" s="7"/>
      <c r="AF548" s="7"/>
      <c r="AG548" s="7"/>
      <c r="AH548" s="7"/>
      <c r="AI548" s="7"/>
      <c r="AJ548" s="7"/>
      <c r="AK548" s="7"/>
      <c r="AL548" s="7"/>
      <c r="AM548" s="7"/>
      <c r="AN548" s="7"/>
      <c r="AO548" s="7"/>
      <c r="AP548" s="7"/>
      <c r="AQ548" s="7"/>
      <c r="AR548" s="7"/>
      <c r="AS548" s="7"/>
      <c r="AT548" s="7"/>
      <c r="AU548" s="7"/>
      <c r="AV548" s="7"/>
      <c r="AW548" s="7"/>
      <c r="AX548" s="7"/>
      <c r="AY548" s="7"/>
      <c r="AZ548" s="7"/>
      <c r="BA548" s="7"/>
      <c r="BB548" s="7"/>
      <c r="BC548" s="7"/>
      <c r="BD548" s="7"/>
      <c r="BE548" s="7"/>
      <c r="BF548" s="7"/>
      <c r="BG548" s="7"/>
    </row>
    <row r="549" spans="1:59">
      <c r="A549" s="7"/>
      <c r="B549" s="7"/>
      <c r="C549" s="7"/>
      <c r="D549" s="7"/>
      <c r="E549" s="7"/>
      <c r="F549" s="7"/>
      <c r="G549" s="7"/>
      <c r="H549" s="7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  <c r="AA549" s="7"/>
      <c r="AB549" s="7"/>
      <c r="AC549" s="7"/>
      <c r="AD549" s="7"/>
      <c r="AE549" s="7"/>
      <c r="AF549" s="7"/>
      <c r="AG549" s="7"/>
      <c r="AH549" s="7"/>
      <c r="AI549" s="7"/>
      <c r="AJ549" s="7"/>
      <c r="AK549" s="7"/>
      <c r="AL549" s="7"/>
      <c r="AM549" s="7"/>
      <c r="AN549" s="7"/>
      <c r="AO549" s="7"/>
      <c r="AP549" s="7"/>
      <c r="AQ549" s="7"/>
      <c r="AR549" s="7"/>
      <c r="AS549" s="7"/>
      <c r="AT549" s="7"/>
      <c r="AU549" s="7"/>
      <c r="AV549" s="7"/>
      <c r="AW549" s="7"/>
      <c r="AX549" s="7"/>
      <c r="AY549" s="7"/>
      <c r="AZ549" s="7"/>
      <c r="BA549" s="7"/>
      <c r="BB549" s="7"/>
      <c r="BC549" s="7"/>
      <c r="BD549" s="7"/>
      <c r="BE549" s="7"/>
      <c r="BF549" s="7"/>
      <c r="BG549" s="7"/>
    </row>
    <row r="550" spans="1:59">
      <c r="A550" s="7"/>
      <c r="B550" s="7"/>
      <c r="C550" s="7"/>
      <c r="D550" s="7"/>
      <c r="E550" s="7"/>
      <c r="F550" s="7"/>
      <c r="G550" s="7"/>
      <c r="H550" s="7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  <c r="AA550" s="7"/>
      <c r="AB550" s="7"/>
      <c r="AC550" s="7"/>
      <c r="AD550" s="7"/>
      <c r="AE550" s="7"/>
      <c r="AF550" s="7"/>
      <c r="AG550" s="7"/>
      <c r="AH550" s="7"/>
      <c r="AI550" s="7"/>
      <c r="AJ550" s="7"/>
      <c r="AK550" s="7"/>
      <c r="AL550" s="7"/>
      <c r="AM550" s="7"/>
      <c r="AN550" s="7"/>
      <c r="AO550" s="7"/>
      <c r="AP550" s="7"/>
      <c r="AQ550" s="7"/>
      <c r="AR550" s="7"/>
      <c r="AS550" s="7"/>
      <c r="AT550" s="7"/>
      <c r="AU550" s="7"/>
      <c r="AV550" s="7"/>
      <c r="AW550" s="7"/>
      <c r="AX550" s="7"/>
      <c r="AY550" s="7"/>
      <c r="AZ550" s="7"/>
      <c r="BA550" s="7"/>
      <c r="BB550" s="7"/>
      <c r="BC550" s="7"/>
      <c r="BD550" s="7"/>
      <c r="BE550" s="7"/>
      <c r="BF550" s="7"/>
      <c r="BG550" s="7"/>
    </row>
    <row r="551" spans="1:59">
      <c r="A551" s="7"/>
      <c r="B551" s="7"/>
      <c r="C551" s="7"/>
      <c r="D551" s="7"/>
      <c r="E551" s="7"/>
      <c r="F551" s="7"/>
      <c r="G551" s="7"/>
      <c r="H551" s="7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  <c r="AA551" s="7"/>
      <c r="AB551" s="7"/>
      <c r="AC551" s="7"/>
      <c r="AD551" s="7"/>
      <c r="AE551" s="7"/>
      <c r="AF551" s="7"/>
      <c r="AG551" s="7"/>
      <c r="AH551" s="7"/>
      <c r="AI551" s="7"/>
      <c r="AJ551" s="7"/>
      <c r="AK551" s="7"/>
      <c r="AL551" s="7"/>
      <c r="AM551" s="7"/>
      <c r="AN551" s="7"/>
      <c r="AO551" s="7"/>
      <c r="AP551" s="7"/>
      <c r="AQ551" s="7"/>
      <c r="AR551" s="7"/>
      <c r="AS551" s="7"/>
      <c r="AT551" s="7"/>
      <c r="AU551" s="7"/>
      <c r="AV551" s="7"/>
      <c r="AW551" s="7"/>
      <c r="AX551" s="7"/>
      <c r="AY551" s="7"/>
      <c r="AZ551" s="7"/>
      <c r="BA551" s="7"/>
      <c r="BB551" s="7"/>
      <c r="BC551" s="7"/>
      <c r="BD551" s="7"/>
      <c r="BE551" s="7"/>
      <c r="BF551" s="7"/>
      <c r="BG551" s="7"/>
    </row>
    <row r="552" spans="1:59">
      <c r="A552" s="7"/>
      <c r="B552" s="7"/>
      <c r="C552" s="7"/>
      <c r="D552" s="7"/>
      <c r="E552" s="7"/>
      <c r="F552" s="7"/>
      <c r="G552" s="7"/>
      <c r="H552" s="7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  <c r="AA552" s="7"/>
      <c r="AB552" s="7"/>
      <c r="AC552" s="7"/>
      <c r="AD552" s="7"/>
      <c r="AE552" s="7"/>
      <c r="AF552" s="7"/>
      <c r="AG552" s="7"/>
      <c r="AH552" s="7"/>
      <c r="AI552" s="7"/>
      <c r="AJ552" s="7"/>
      <c r="AK552" s="7"/>
      <c r="AL552" s="7"/>
      <c r="AM552" s="7"/>
      <c r="AN552" s="7"/>
      <c r="AO552" s="7"/>
      <c r="AP552" s="7"/>
      <c r="AQ552" s="7"/>
      <c r="AR552" s="7"/>
      <c r="AS552" s="7"/>
      <c r="AT552" s="7"/>
      <c r="AU552" s="7"/>
      <c r="AV552" s="7"/>
      <c r="AW552" s="7"/>
      <c r="AX552" s="7"/>
      <c r="AY552" s="7"/>
      <c r="AZ552" s="7"/>
      <c r="BA552" s="7"/>
      <c r="BB552" s="7"/>
      <c r="BC552" s="7"/>
      <c r="BD552" s="7"/>
      <c r="BE552" s="7"/>
      <c r="BF552" s="7"/>
      <c r="BG552" s="7"/>
    </row>
    <row r="553" spans="1:59">
      <c r="A553" s="7"/>
      <c r="B553" s="7"/>
      <c r="C553" s="7"/>
      <c r="D553" s="7"/>
      <c r="E553" s="7"/>
      <c r="F553" s="7"/>
      <c r="G553" s="7"/>
      <c r="H553" s="7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  <c r="AA553" s="7"/>
      <c r="AB553" s="7"/>
      <c r="AC553" s="7"/>
      <c r="AD553" s="7"/>
      <c r="AE553" s="7"/>
      <c r="AF553" s="7"/>
      <c r="AG553" s="7"/>
      <c r="AH553" s="7"/>
      <c r="AI553" s="7"/>
      <c r="AJ553" s="7"/>
      <c r="AK553" s="7"/>
      <c r="AL553" s="7"/>
      <c r="AM553" s="7"/>
      <c r="AN553" s="7"/>
      <c r="AO553" s="7"/>
      <c r="AP553" s="7"/>
      <c r="AQ553" s="7"/>
      <c r="AR553" s="7"/>
      <c r="AS553" s="7"/>
      <c r="AT553" s="7"/>
      <c r="AU553" s="7"/>
      <c r="AV553" s="7"/>
      <c r="AW553" s="7"/>
      <c r="AX553" s="7"/>
      <c r="AY553" s="7"/>
      <c r="AZ553" s="7"/>
      <c r="BA553" s="7"/>
      <c r="BB553" s="7"/>
      <c r="BC553" s="7"/>
      <c r="BD553" s="7"/>
      <c r="BE553" s="7"/>
      <c r="BF553" s="7"/>
      <c r="BG553" s="7"/>
    </row>
    <row r="554" spans="1:59">
      <c r="A554" s="7"/>
      <c r="B554" s="7"/>
      <c r="C554" s="7"/>
      <c r="D554" s="7"/>
      <c r="E554" s="7"/>
      <c r="F554" s="7"/>
      <c r="G554" s="7"/>
      <c r="H554" s="7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  <c r="AA554" s="7"/>
      <c r="AB554" s="7"/>
      <c r="AC554" s="7"/>
      <c r="AD554" s="7"/>
      <c r="AE554" s="7"/>
      <c r="AF554" s="7"/>
      <c r="AG554" s="7"/>
      <c r="AH554" s="7"/>
      <c r="AI554" s="7"/>
      <c r="AJ554" s="7"/>
      <c r="AK554" s="7"/>
      <c r="AL554" s="7"/>
      <c r="AM554" s="7"/>
      <c r="AN554" s="7"/>
      <c r="AO554" s="7"/>
      <c r="AP554" s="7"/>
      <c r="AQ554" s="7"/>
      <c r="AR554" s="7"/>
      <c r="AS554" s="7"/>
      <c r="AT554" s="7"/>
      <c r="AU554" s="7"/>
      <c r="AV554" s="7"/>
      <c r="AW554" s="7"/>
      <c r="AX554" s="7"/>
      <c r="AY554" s="7"/>
      <c r="AZ554" s="7"/>
      <c r="BA554" s="7"/>
      <c r="BB554" s="7"/>
      <c r="BC554" s="7"/>
      <c r="BD554" s="7"/>
      <c r="BE554" s="7"/>
      <c r="BF554" s="7"/>
      <c r="BG554" s="7"/>
    </row>
    <row r="555" spans="1:59">
      <c r="A555" s="7"/>
      <c r="B555" s="7"/>
      <c r="C555" s="7"/>
      <c r="D555" s="7"/>
      <c r="E555" s="7"/>
      <c r="F555" s="7"/>
      <c r="G555" s="7"/>
      <c r="H555" s="7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  <c r="AA555" s="7"/>
      <c r="AB555" s="7"/>
      <c r="AC555" s="7"/>
      <c r="AD555" s="7"/>
      <c r="AE555" s="7"/>
      <c r="AF555" s="7"/>
      <c r="AG555" s="7"/>
      <c r="AH555" s="7"/>
      <c r="AI555" s="7"/>
      <c r="AJ555" s="7"/>
      <c r="AK555" s="7"/>
      <c r="AL555" s="7"/>
      <c r="AM555" s="7"/>
      <c r="AN555" s="7"/>
      <c r="AO555" s="7"/>
      <c r="AP555" s="7"/>
      <c r="AQ555" s="7"/>
      <c r="AR555" s="7"/>
      <c r="AS555" s="7"/>
      <c r="AT555" s="7"/>
      <c r="AU555" s="7"/>
      <c r="AV555" s="7"/>
      <c r="AW555" s="7"/>
      <c r="AX555" s="7"/>
      <c r="AY555" s="7"/>
      <c r="AZ555" s="7"/>
      <c r="BA555" s="7"/>
      <c r="BB555" s="7"/>
      <c r="BC555" s="7"/>
      <c r="BD555" s="7"/>
      <c r="BE555" s="7"/>
      <c r="BF555" s="7"/>
      <c r="BG555" s="7"/>
    </row>
    <row r="556" spans="1:59">
      <c r="A556" s="7"/>
      <c r="B556" s="7"/>
      <c r="C556" s="7"/>
      <c r="D556" s="7"/>
      <c r="E556" s="7"/>
      <c r="F556" s="7"/>
      <c r="G556" s="7"/>
      <c r="H556" s="7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  <c r="AA556" s="7"/>
      <c r="AB556" s="7"/>
      <c r="AC556" s="7"/>
      <c r="AD556" s="7"/>
      <c r="AE556" s="7"/>
      <c r="AF556" s="7"/>
      <c r="AG556" s="7"/>
      <c r="AH556" s="7"/>
      <c r="AI556" s="7"/>
      <c r="AJ556" s="7"/>
      <c r="AK556" s="7"/>
      <c r="AL556" s="7"/>
      <c r="AM556" s="7"/>
      <c r="AN556" s="7"/>
      <c r="AO556" s="7"/>
      <c r="AP556" s="7"/>
      <c r="AQ556" s="7"/>
      <c r="AR556" s="7"/>
      <c r="AS556" s="7"/>
      <c r="AT556" s="7"/>
      <c r="AU556" s="7"/>
      <c r="AV556" s="7"/>
      <c r="AW556" s="7"/>
      <c r="AX556" s="7"/>
      <c r="AY556" s="7"/>
      <c r="AZ556" s="7"/>
      <c r="BA556" s="7"/>
      <c r="BB556" s="7"/>
      <c r="BC556" s="7"/>
      <c r="BD556" s="7"/>
      <c r="BE556" s="7"/>
      <c r="BF556" s="7"/>
      <c r="BG556" s="7"/>
    </row>
    <row r="557" spans="1:59">
      <c r="A557" s="7"/>
      <c r="B557" s="7"/>
      <c r="C557" s="7"/>
      <c r="D557" s="7"/>
      <c r="E557" s="7"/>
      <c r="F557" s="7"/>
      <c r="G557" s="7"/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  <c r="AA557" s="7"/>
      <c r="AB557" s="7"/>
      <c r="AC557" s="7"/>
      <c r="AD557" s="7"/>
      <c r="AE557" s="7"/>
      <c r="AF557" s="7"/>
      <c r="AG557" s="7"/>
      <c r="AH557" s="7"/>
      <c r="AI557" s="7"/>
      <c r="AJ557" s="7"/>
      <c r="AK557" s="7"/>
      <c r="AL557" s="7"/>
      <c r="AM557" s="7"/>
      <c r="AN557" s="7"/>
      <c r="AO557" s="7"/>
      <c r="AP557" s="7"/>
      <c r="AQ557" s="7"/>
      <c r="AR557" s="7"/>
      <c r="AS557" s="7"/>
      <c r="AT557" s="7"/>
      <c r="AU557" s="7"/>
      <c r="AV557" s="7"/>
      <c r="AW557" s="7"/>
      <c r="AX557" s="7"/>
      <c r="AY557" s="7"/>
      <c r="AZ557" s="7"/>
      <c r="BA557" s="7"/>
      <c r="BB557" s="7"/>
      <c r="BC557" s="7"/>
      <c r="BD557" s="7"/>
      <c r="BE557" s="7"/>
      <c r="BF557" s="7"/>
      <c r="BG557" s="7"/>
    </row>
    <row r="558" spans="1:59">
      <c r="A558" s="7"/>
      <c r="B558" s="7"/>
      <c r="C558" s="7"/>
      <c r="D558" s="7"/>
      <c r="E558" s="7"/>
      <c r="F558" s="7"/>
      <c r="G558" s="7"/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  <c r="AA558" s="7"/>
      <c r="AB558" s="7"/>
      <c r="AC558" s="7"/>
      <c r="AD558" s="7"/>
      <c r="AE558" s="7"/>
      <c r="AF558" s="7"/>
      <c r="AG558" s="7"/>
      <c r="AH558" s="7"/>
      <c r="AI558" s="7"/>
      <c r="AJ558" s="7"/>
      <c r="AK558" s="7"/>
      <c r="AL558" s="7"/>
      <c r="AM558" s="7"/>
      <c r="AN558" s="7"/>
      <c r="AO558" s="7"/>
      <c r="AP558" s="7"/>
      <c r="AQ558" s="7"/>
      <c r="AR558" s="7"/>
      <c r="AS558" s="7"/>
      <c r="AT558" s="7"/>
      <c r="AU558" s="7"/>
      <c r="AV558" s="7"/>
      <c r="AW558" s="7"/>
      <c r="AX558" s="7"/>
      <c r="AY558" s="7"/>
      <c r="AZ558" s="7"/>
      <c r="BA558" s="7"/>
      <c r="BB558" s="7"/>
      <c r="BC558" s="7"/>
      <c r="BD558" s="7"/>
      <c r="BE558" s="7"/>
      <c r="BF558" s="7"/>
      <c r="BG558" s="7"/>
    </row>
    <row r="559" spans="1:59">
      <c r="A559" s="7"/>
      <c r="B559" s="7"/>
      <c r="C559" s="7"/>
      <c r="D559" s="7"/>
      <c r="E559" s="7"/>
      <c r="F559" s="7"/>
      <c r="G559" s="7"/>
      <c r="H559" s="7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  <c r="AA559" s="7"/>
      <c r="AB559" s="7"/>
      <c r="AC559" s="7"/>
      <c r="AD559" s="7"/>
      <c r="AE559" s="7"/>
      <c r="AF559" s="7"/>
      <c r="AG559" s="7"/>
      <c r="AH559" s="7"/>
      <c r="AI559" s="7"/>
      <c r="AJ559" s="7"/>
      <c r="AK559" s="7"/>
      <c r="AL559" s="7"/>
      <c r="AM559" s="7"/>
      <c r="AN559" s="7"/>
      <c r="AO559" s="7"/>
      <c r="AP559" s="7"/>
      <c r="AQ559" s="7"/>
      <c r="AR559" s="7"/>
      <c r="AS559" s="7"/>
      <c r="AT559" s="7"/>
      <c r="AU559" s="7"/>
      <c r="AV559" s="7"/>
      <c r="AW559" s="7"/>
      <c r="AX559" s="7"/>
      <c r="AY559" s="7"/>
      <c r="AZ559" s="7"/>
      <c r="BA559" s="7"/>
      <c r="BB559" s="7"/>
      <c r="BC559" s="7"/>
      <c r="BD559" s="7"/>
      <c r="BE559" s="7"/>
      <c r="BF559" s="7"/>
      <c r="BG559" s="7"/>
    </row>
    <row r="560" spans="1:59">
      <c r="A560" s="7"/>
      <c r="B560" s="7"/>
      <c r="C560" s="7"/>
      <c r="D560" s="7"/>
      <c r="E560" s="7"/>
      <c r="F560" s="7"/>
      <c r="G560" s="7"/>
      <c r="H560" s="7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  <c r="AA560" s="7"/>
      <c r="AB560" s="7"/>
      <c r="AC560" s="7"/>
      <c r="AD560" s="7"/>
      <c r="AE560" s="7"/>
      <c r="AF560" s="7"/>
      <c r="AG560" s="7"/>
      <c r="AH560" s="7"/>
      <c r="AI560" s="7"/>
      <c r="AJ560" s="7"/>
      <c r="AK560" s="7"/>
      <c r="AL560" s="7"/>
      <c r="AM560" s="7"/>
      <c r="AN560" s="7"/>
      <c r="AO560" s="7"/>
      <c r="AP560" s="7"/>
      <c r="AQ560" s="7"/>
      <c r="AR560" s="7"/>
      <c r="AS560" s="7"/>
      <c r="AT560" s="7"/>
      <c r="AU560" s="7"/>
      <c r="AV560" s="7"/>
      <c r="AW560" s="7"/>
      <c r="AX560" s="7"/>
      <c r="AY560" s="7"/>
      <c r="AZ560" s="7"/>
      <c r="BA560" s="7"/>
      <c r="BB560" s="7"/>
      <c r="BC560" s="7"/>
      <c r="BD560" s="7"/>
      <c r="BE560" s="7"/>
      <c r="BF560" s="7"/>
      <c r="BG560" s="7"/>
    </row>
    <row r="561" spans="1:59">
      <c r="A561" s="7"/>
      <c r="B561" s="7"/>
      <c r="C561" s="7"/>
      <c r="D561" s="7"/>
      <c r="E561" s="7"/>
      <c r="F561" s="7"/>
      <c r="G561" s="7"/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  <c r="AA561" s="7"/>
      <c r="AB561" s="7"/>
      <c r="AC561" s="7"/>
      <c r="AD561" s="7"/>
      <c r="AE561" s="7"/>
      <c r="AF561" s="7"/>
      <c r="AG561" s="7"/>
      <c r="AH561" s="7"/>
      <c r="AI561" s="7"/>
      <c r="AJ561" s="7"/>
      <c r="AK561" s="7"/>
      <c r="AL561" s="7"/>
      <c r="AM561" s="7"/>
      <c r="AN561" s="7"/>
      <c r="AO561" s="7"/>
      <c r="AP561" s="7"/>
      <c r="AQ561" s="7"/>
      <c r="AR561" s="7"/>
      <c r="AS561" s="7"/>
      <c r="AT561" s="7"/>
      <c r="AU561" s="7"/>
      <c r="AV561" s="7"/>
      <c r="AW561" s="7"/>
      <c r="AX561" s="7"/>
      <c r="AY561" s="7"/>
      <c r="AZ561" s="7"/>
      <c r="BA561" s="7"/>
      <c r="BB561" s="7"/>
      <c r="BC561" s="7"/>
      <c r="BD561" s="7"/>
      <c r="BE561" s="7"/>
      <c r="BF561" s="7"/>
      <c r="BG561" s="7"/>
    </row>
    <row r="562" spans="1:59">
      <c r="A562" s="7"/>
      <c r="B562" s="7"/>
      <c r="C562" s="7"/>
      <c r="D562" s="7"/>
      <c r="E562" s="7"/>
      <c r="F562" s="7"/>
      <c r="G562" s="7"/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  <c r="AA562" s="7"/>
      <c r="AB562" s="7"/>
      <c r="AC562" s="7"/>
      <c r="AD562" s="7"/>
      <c r="AE562" s="7"/>
      <c r="AF562" s="7"/>
      <c r="AG562" s="7"/>
      <c r="AH562" s="7"/>
      <c r="AI562" s="7"/>
      <c r="AJ562" s="7"/>
      <c r="AK562" s="7"/>
      <c r="AL562" s="7"/>
      <c r="AM562" s="7"/>
      <c r="AN562" s="7"/>
      <c r="AO562" s="7"/>
      <c r="AP562" s="7"/>
      <c r="AQ562" s="7"/>
      <c r="AR562" s="7"/>
      <c r="AS562" s="7"/>
      <c r="AT562" s="7"/>
      <c r="AU562" s="7"/>
      <c r="AV562" s="7"/>
      <c r="AW562" s="7"/>
      <c r="AX562" s="7"/>
      <c r="AY562" s="7"/>
      <c r="AZ562" s="7"/>
      <c r="BA562" s="7"/>
      <c r="BB562" s="7"/>
      <c r="BC562" s="7"/>
      <c r="BD562" s="7"/>
      <c r="BE562" s="7"/>
      <c r="BF562" s="7"/>
      <c r="BG562" s="7"/>
    </row>
    <row r="563" spans="1:59">
      <c r="A563" s="7"/>
      <c r="B563" s="7"/>
      <c r="C563" s="7"/>
      <c r="D563" s="7"/>
      <c r="E563" s="7"/>
      <c r="F563" s="7"/>
      <c r="G563" s="7"/>
      <c r="H563" s="7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  <c r="AA563" s="7"/>
      <c r="AB563" s="7"/>
      <c r="AC563" s="7"/>
      <c r="AD563" s="7"/>
      <c r="AE563" s="7"/>
      <c r="AF563" s="7"/>
      <c r="AG563" s="7"/>
      <c r="AH563" s="7"/>
      <c r="AI563" s="7"/>
      <c r="AJ563" s="7"/>
      <c r="AK563" s="7"/>
      <c r="AL563" s="7"/>
      <c r="AM563" s="7"/>
      <c r="AN563" s="7"/>
      <c r="AO563" s="7"/>
      <c r="AP563" s="7"/>
      <c r="AQ563" s="7"/>
      <c r="AR563" s="7"/>
      <c r="AS563" s="7"/>
      <c r="AT563" s="7"/>
      <c r="AU563" s="7"/>
      <c r="AV563" s="7"/>
      <c r="AW563" s="7"/>
      <c r="AX563" s="7"/>
      <c r="AY563" s="7"/>
      <c r="AZ563" s="7"/>
      <c r="BA563" s="7"/>
      <c r="BB563" s="7"/>
      <c r="BC563" s="7"/>
      <c r="BD563" s="7"/>
      <c r="BE563" s="7"/>
      <c r="BF563" s="7"/>
      <c r="BG563" s="7"/>
    </row>
    <row r="564" spans="1:59">
      <c r="A564" s="7"/>
      <c r="B564" s="7"/>
      <c r="C564" s="7"/>
      <c r="D564" s="7"/>
      <c r="E564" s="7"/>
      <c r="F564" s="7"/>
      <c r="G564" s="7"/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  <c r="AA564" s="7"/>
      <c r="AB564" s="7"/>
      <c r="AC564" s="7"/>
      <c r="AD564" s="7"/>
      <c r="AE564" s="7"/>
      <c r="AF564" s="7"/>
      <c r="AG564" s="7"/>
      <c r="AH564" s="7"/>
      <c r="AI564" s="7"/>
      <c r="AJ564" s="7"/>
      <c r="AK564" s="7"/>
      <c r="AL564" s="7"/>
      <c r="AM564" s="7"/>
      <c r="AN564" s="7"/>
      <c r="AO564" s="7"/>
      <c r="AP564" s="7"/>
      <c r="AQ564" s="7"/>
      <c r="AR564" s="7"/>
      <c r="AS564" s="7"/>
      <c r="AT564" s="7"/>
      <c r="AU564" s="7"/>
      <c r="AV564" s="7"/>
      <c r="AW564" s="7"/>
      <c r="AX564" s="7"/>
      <c r="AY564" s="7"/>
      <c r="AZ564" s="7"/>
      <c r="BA564" s="7"/>
      <c r="BB564" s="7"/>
      <c r="BC564" s="7"/>
      <c r="BD564" s="7"/>
      <c r="BE564" s="7"/>
      <c r="BF564" s="7"/>
      <c r="BG564" s="7"/>
    </row>
    <row r="565" spans="1:59">
      <c r="A565" s="7"/>
      <c r="B565" s="7"/>
      <c r="C565" s="7"/>
      <c r="D565" s="7"/>
      <c r="E565" s="7"/>
      <c r="F565" s="7"/>
      <c r="G565" s="7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  <c r="AA565" s="7"/>
      <c r="AB565" s="7"/>
      <c r="AC565" s="7"/>
      <c r="AD565" s="7"/>
      <c r="AE565" s="7"/>
      <c r="AF565" s="7"/>
      <c r="AG565" s="7"/>
      <c r="AH565" s="7"/>
      <c r="AI565" s="7"/>
      <c r="AJ565" s="7"/>
      <c r="AK565" s="7"/>
      <c r="AL565" s="7"/>
      <c r="AM565" s="7"/>
      <c r="AN565" s="7"/>
      <c r="AO565" s="7"/>
      <c r="AP565" s="7"/>
      <c r="AQ565" s="7"/>
      <c r="AR565" s="7"/>
      <c r="AS565" s="7"/>
      <c r="AT565" s="7"/>
      <c r="AU565" s="7"/>
      <c r="AV565" s="7"/>
      <c r="AW565" s="7"/>
      <c r="AX565" s="7"/>
      <c r="AY565" s="7"/>
      <c r="AZ565" s="7"/>
      <c r="BA565" s="7"/>
      <c r="BB565" s="7"/>
      <c r="BC565" s="7"/>
      <c r="BD565" s="7"/>
      <c r="BE565" s="7"/>
      <c r="BF565" s="7"/>
      <c r="BG565" s="7"/>
    </row>
    <row r="566" spans="1:59">
      <c r="A566" s="7"/>
      <c r="B566" s="7"/>
      <c r="C566" s="7"/>
      <c r="D566" s="7"/>
      <c r="E566" s="7"/>
      <c r="F566" s="7"/>
      <c r="G566" s="7"/>
      <c r="H566" s="7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  <c r="AA566" s="7"/>
      <c r="AB566" s="7"/>
      <c r="AC566" s="7"/>
      <c r="AD566" s="7"/>
      <c r="AE566" s="7"/>
      <c r="AF566" s="7"/>
      <c r="AG566" s="7"/>
      <c r="AH566" s="7"/>
      <c r="AI566" s="7"/>
      <c r="AJ566" s="7"/>
      <c r="AK566" s="7"/>
      <c r="AL566" s="7"/>
      <c r="AM566" s="7"/>
      <c r="AN566" s="7"/>
      <c r="AO566" s="7"/>
      <c r="AP566" s="7"/>
      <c r="AQ566" s="7"/>
      <c r="AR566" s="7"/>
      <c r="AS566" s="7"/>
      <c r="AT566" s="7"/>
      <c r="AU566" s="7"/>
      <c r="AV566" s="7"/>
      <c r="AW566" s="7"/>
      <c r="AX566" s="7"/>
      <c r="AY566" s="7"/>
      <c r="AZ566" s="7"/>
      <c r="BA566" s="7"/>
      <c r="BB566" s="7"/>
      <c r="BC566" s="7"/>
      <c r="BD566" s="7"/>
      <c r="BE566" s="7"/>
      <c r="BF566" s="7"/>
      <c r="BG566" s="7"/>
    </row>
    <row r="567" spans="1:59">
      <c r="A567" s="7"/>
      <c r="B567" s="7"/>
      <c r="C567" s="7"/>
      <c r="D567" s="7"/>
      <c r="E567" s="7"/>
      <c r="F567" s="7"/>
      <c r="G567" s="7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  <c r="AA567" s="7"/>
      <c r="AB567" s="7"/>
      <c r="AC567" s="7"/>
      <c r="AD567" s="7"/>
      <c r="AE567" s="7"/>
      <c r="AF567" s="7"/>
      <c r="AG567" s="7"/>
      <c r="AH567" s="7"/>
      <c r="AI567" s="7"/>
      <c r="AJ567" s="7"/>
      <c r="AK567" s="7"/>
      <c r="AL567" s="7"/>
      <c r="AM567" s="7"/>
      <c r="AN567" s="7"/>
      <c r="AO567" s="7"/>
      <c r="AP567" s="7"/>
      <c r="AQ567" s="7"/>
      <c r="AR567" s="7"/>
      <c r="AS567" s="7"/>
      <c r="AT567" s="7"/>
      <c r="AU567" s="7"/>
      <c r="AV567" s="7"/>
      <c r="AW567" s="7"/>
      <c r="AX567" s="7"/>
      <c r="AY567" s="7"/>
      <c r="AZ567" s="7"/>
      <c r="BA567" s="7"/>
      <c r="BB567" s="7"/>
      <c r="BC567" s="7"/>
      <c r="BD567" s="7"/>
      <c r="BE567" s="7"/>
      <c r="BF567" s="7"/>
      <c r="BG567" s="7"/>
    </row>
    <row r="568" spans="1:59">
      <c r="A568" s="7"/>
      <c r="B568" s="7"/>
      <c r="C568" s="7"/>
      <c r="D568" s="7"/>
      <c r="E568" s="7"/>
      <c r="F568" s="7"/>
      <c r="G568" s="7"/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  <c r="AA568" s="7"/>
      <c r="AB568" s="7"/>
      <c r="AC568" s="7"/>
      <c r="AD568" s="7"/>
      <c r="AE568" s="7"/>
      <c r="AF568" s="7"/>
      <c r="AG568" s="7"/>
      <c r="AH568" s="7"/>
      <c r="AI568" s="7"/>
      <c r="AJ568" s="7"/>
      <c r="AK568" s="7"/>
      <c r="AL568" s="7"/>
      <c r="AM568" s="7"/>
      <c r="AN568" s="7"/>
      <c r="AO568" s="7"/>
      <c r="AP568" s="7"/>
      <c r="AQ568" s="7"/>
      <c r="AR568" s="7"/>
      <c r="AS568" s="7"/>
      <c r="AT568" s="7"/>
      <c r="AU568" s="7"/>
      <c r="AV568" s="7"/>
      <c r="AW568" s="7"/>
      <c r="AX568" s="7"/>
      <c r="AY568" s="7"/>
      <c r="AZ568" s="7"/>
      <c r="BA568" s="7"/>
      <c r="BB568" s="7"/>
      <c r="BC568" s="7"/>
      <c r="BD568" s="7"/>
      <c r="BE568" s="7"/>
      <c r="BF568" s="7"/>
      <c r="BG568" s="7"/>
    </row>
    <row r="569" spans="1:59">
      <c r="A569" s="7"/>
      <c r="B569" s="7"/>
      <c r="C569" s="7"/>
      <c r="D569" s="7"/>
      <c r="E569" s="7"/>
      <c r="F569" s="7"/>
      <c r="G569" s="7"/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  <c r="AA569" s="7"/>
      <c r="AB569" s="7"/>
      <c r="AC569" s="7"/>
      <c r="AD569" s="7"/>
      <c r="AE569" s="7"/>
      <c r="AF569" s="7"/>
      <c r="AG569" s="7"/>
      <c r="AH569" s="7"/>
      <c r="AI569" s="7"/>
      <c r="AJ569" s="7"/>
      <c r="AK569" s="7"/>
      <c r="AL569" s="7"/>
      <c r="AM569" s="7"/>
      <c r="AN569" s="7"/>
      <c r="AO569" s="7"/>
      <c r="AP569" s="7"/>
      <c r="AQ569" s="7"/>
      <c r="AR569" s="7"/>
      <c r="AS569" s="7"/>
      <c r="AT569" s="7"/>
      <c r="AU569" s="7"/>
      <c r="AV569" s="7"/>
      <c r="AW569" s="7"/>
      <c r="AX569" s="7"/>
      <c r="AY569" s="7"/>
      <c r="AZ569" s="7"/>
      <c r="BA569" s="7"/>
      <c r="BB569" s="7"/>
      <c r="BC569" s="7"/>
      <c r="BD569" s="7"/>
      <c r="BE569" s="7"/>
      <c r="BF569" s="7"/>
      <c r="BG569" s="7"/>
    </row>
    <row r="570" spans="1:59">
      <c r="A570" s="7"/>
      <c r="B570" s="7"/>
      <c r="C570" s="7"/>
      <c r="D570" s="7"/>
      <c r="E570" s="7"/>
      <c r="F570" s="7"/>
      <c r="G570" s="7"/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  <c r="AA570" s="7"/>
      <c r="AB570" s="7"/>
      <c r="AC570" s="7"/>
      <c r="AD570" s="7"/>
      <c r="AE570" s="7"/>
      <c r="AF570" s="7"/>
      <c r="AG570" s="7"/>
      <c r="AH570" s="7"/>
      <c r="AI570" s="7"/>
      <c r="AJ570" s="7"/>
      <c r="AK570" s="7"/>
      <c r="AL570" s="7"/>
      <c r="AM570" s="7"/>
      <c r="AN570" s="7"/>
      <c r="AO570" s="7"/>
      <c r="AP570" s="7"/>
      <c r="AQ570" s="7"/>
      <c r="AR570" s="7"/>
      <c r="AS570" s="7"/>
      <c r="AT570" s="7"/>
      <c r="AU570" s="7"/>
      <c r="AV570" s="7"/>
      <c r="AW570" s="7"/>
      <c r="AX570" s="7"/>
      <c r="AY570" s="7"/>
      <c r="AZ570" s="7"/>
      <c r="BA570" s="7"/>
      <c r="BB570" s="7"/>
      <c r="BC570" s="7"/>
      <c r="BD570" s="7"/>
      <c r="BE570" s="7"/>
      <c r="BF570" s="7"/>
      <c r="BG570" s="7"/>
    </row>
    <row r="571" spans="1:59">
      <c r="A571" s="7"/>
      <c r="B571" s="7"/>
      <c r="C571" s="7"/>
      <c r="D571" s="7"/>
      <c r="E571" s="7"/>
      <c r="F571" s="7"/>
      <c r="G571" s="7"/>
      <c r="H571" s="7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  <c r="AA571" s="7"/>
      <c r="AB571" s="7"/>
      <c r="AC571" s="7"/>
      <c r="AD571" s="7"/>
      <c r="AE571" s="7"/>
      <c r="AF571" s="7"/>
      <c r="AG571" s="7"/>
      <c r="AH571" s="7"/>
      <c r="AI571" s="7"/>
      <c r="AJ571" s="7"/>
      <c r="AK571" s="7"/>
      <c r="AL571" s="7"/>
      <c r="AM571" s="7"/>
      <c r="AN571" s="7"/>
      <c r="AO571" s="7"/>
      <c r="AP571" s="7"/>
      <c r="AQ571" s="7"/>
      <c r="AR571" s="7"/>
      <c r="AS571" s="7"/>
      <c r="AT571" s="7"/>
      <c r="AU571" s="7"/>
      <c r="AV571" s="7"/>
      <c r="AW571" s="7"/>
      <c r="AX571" s="7"/>
      <c r="AY571" s="7"/>
      <c r="AZ571" s="7"/>
      <c r="BA571" s="7"/>
      <c r="BB571" s="7"/>
      <c r="BC571" s="7"/>
      <c r="BD571" s="7"/>
      <c r="BE571" s="7"/>
      <c r="BF571" s="7"/>
      <c r="BG571" s="7"/>
    </row>
    <row r="572" spans="1:59">
      <c r="A572" s="7"/>
      <c r="B572" s="7"/>
      <c r="C572" s="7"/>
      <c r="D572" s="7"/>
      <c r="E572" s="7"/>
      <c r="F572" s="7"/>
      <c r="G572" s="7"/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  <c r="AA572" s="7"/>
      <c r="AB572" s="7"/>
      <c r="AC572" s="7"/>
      <c r="AD572" s="7"/>
      <c r="AE572" s="7"/>
      <c r="AF572" s="7"/>
      <c r="AG572" s="7"/>
      <c r="AH572" s="7"/>
      <c r="AI572" s="7"/>
      <c r="AJ572" s="7"/>
      <c r="AK572" s="7"/>
      <c r="AL572" s="7"/>
      <c r="AM572" s="7"/>
      <c r="AN572" s="7"/>
      <c r="AO572" s="7"/>
      <c r="AP572" s="7"/>
      <c r="AQ572" s="7"/>
      <c r="AR572" s="7"/>
      <c r="AS572" s="7"/>
      <c r="AT572" s="7"/>
      <c r="AU572" s="7"/>
      <c r="AV572" s="7"/>
      <c r="AW572" s="7"/>
      <c r="AX572" s="7"/>
      <c r="AY572" s="7"/>
      <c r="AZ572" s="7"/>
      <c r="BA572" s="7"/>
      <c r="BB572" s="7"/>
      <c r="BC572" s="7"/>
      <c r="BD572" s="7"/>
      <c r="BE572" s="7"/>
      <c r="BF572" s="7"/>
      <c r="BG572" s="7"/>
    </row>
    <row r="573" spans="1:59">
      <c r="A573" s="7"/>
      <c r="B573" s="7"/>
      <c r="C573" s="7"/>
      <c r="D573" s="7"/>
      <c r="E573" s="7"/>
      <c r="F573" s="7"/>
      <c r="G573" s="7"/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  <c r="AA573" s="7"/>
      <c r="AB573" s="7"/>
      <c r="AC573" s="7"/>
      <c r="AD573" s="7"/>
      <c r="AE573" s="7"/>
      <c r="AF573" s="7"/>
      <c r="AG573" s="7"/>
      <c r="AH573" s="7"/>
      <c r="AI573" s="7"/>
      <c r="AJ573" s="7"/>
      <c r="AK573" s="7"/>
      <c r="AL573" s="7"/>
      <c r="AM573" s="7"/>
      <c r="AN573" s="7"/>
      <c r="AO573" s="7"/>
      <c r="AP573" s="7"/>
      <c r="AQ573" s="7"/>
      <c r="AR573" s="7"/>
      <c r="AS573" s="7"/>
      <c r="AT573" s="7"/>
      <c r="AU573" s="7"/>
      <c r="AV573" s="7"/>
      <c r="AW573" s="7"/>
      <c r="AX573" s="7"/>
      <c r="AY573" s="7"/>
      <c r="AZ573" s="7"/>
      <c r="BA573" s="7"/>
      <c r="BB573" s="7"/>
      <c r="BC573" s="7"/>
      <c r="BD573" s="7"/>
      <c r="BE573" s="7"/>
      <c r="BF573" s="7"/>
      <c r="BG573" s="7"/>
    </row>
    <row r="574" spans="1:59">
      <c r="A574" s="7"/>
      <c r="B574" s="7"/>
      <c r="C574" s="7"/>
      <c r="D574" s="7"/>
      <c r="E574" s="7"/>
      <c r="F574" s="7"/>
      <c r="G574" s="7"/>
      <c r="H574" s="7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  <c r="AA574" s="7"/>
      <c r="AB574" s="7"/>
      <c r="AC574" s="7"/>
      <c r="AD574" s="7"/>
      <c r="AE574" s="7"/>
      <c r="AF574" s="7"/>
      <c r="AG574" s="7"/>
      <c r="AH574" s="7"/>
      <c r="AI574" s="7"/>
      <c r="AJ574" s="7"/>
      <c r="AK574" s="7"/>
      <c r="AL574" s="7"/>
      <c r="AM574" s="7"/>
      <c r="AN574" s="7"/>
      <c r="AO574" s="7"/>
      <c r="AP574" s="7"/>
      <c r="AQ574" s="7"/>
      <c r="AR574" s="7"/>
      <c r="AS574" s="7"/>
      <c r="AT574" s="7"/>
      <c r="AU574" s="7"/>
      <c r="AV574" s="7"/>
      <c r="AW574" s="7"/>
      <c r="AX574" s="7"/>
      <c r="AY574" s="7"/>
      <c r="AZ574" s="7"/>
      <c r="BA574" s="7"/>
      <c r="BB574" s="7"/>
      <c r="BC574" s="7"/>
      <c r="BD574" s="7"/>
      <c r="BE574" s="7"/>
      <c r="BF574" s="7"/>
      <c r="BG574" s="7"/>
    </row>
  </sheetData>
  <phoneticPr fontId="14" type="noConversion"/>
  <pageMargins left="0.75" right="0.75" top="1" bottom="1" header="0" footer="0"/>
  <pageSetup paperSize="9" scale="82" orientation="portrait" horizontalDpi="300" verticalDpi="300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/>
  <dimension ref="A1:Y193"/>
  <sheetViews>
    <sheetView topLeftCell="A40" workbookViewId="0">
      <selection activeCell="N60" sqref="N60"/>
    </sheetView>
  </sheetViews>
  <sheetFormatPr baseColWidth="10" defaultRowHeight="12.75"/>
  <cols>
    <col min="2" max="8" width="6.7109375" customWidth="1"/>
    <col min="9" max="9" width="9.7109375" customWidth="1"/>
    <col min="10" max="22" width="6.7109375" customWidth="1"/>
  </cols>
  <sheetData>
    <row r="1" spans="9:22">
      <c r="I1" s="1" t="s">
        <v>520</v>
      </c>
      <c r="M1" s="67" t="str">
        <f>VLOOKUP(Lugar!E84,Lugar!A65:C84,2)</f>
        <v>Salta</v>
      </c>
    </row>
    <row r="2" spans="9:22">
      <c r="I2" s="1" t="s">
        <v>160</v>
      </c>
    </row>
    <row r="3" spans="9:22">
      <c r="I3" s="1" t="s">
        <v>161</v>
      </c>
      <c r="J3" s="1">
        <v>1</v>
      </c>
      <c r="K3" s="1">
        <v>2</v>
      </c>
      <c r="L3" s="1">
        <v>3</v>
      </c>
      <c r="M3" s="1">
        <v>4</v>
      </c>
      <c r="N3" s="1">
        <v>5</v>
      </c>
      <c r="O3" s="1">
        <v>6</v>
      </c>
      <c r="P3" s="1">
        <v>7</v>
      </c>
      <c r="Q3" s="1">
        <v>8</v>
      </c>
      <c r="R3" s="1">
        <v>9</v>
      </c>
      <c r="S3" s="1">
        <v>10</v>
      </c>
      <c r="T3" s="1">
        <v>11</v>
      </c>
      <c r="U3" s="1">
        <v>12</v>
      </c>
    </row>
    <row r="4" spans="9:22">
      <c r="I4" s="1" t="s">
        <v>162</v>
      </c>
      <c r="J4" s="78">
        <f>IF($M$1="Salta",B49,IF($M$1="Jujuy",B70,IF($M$1="La Quiaca",B89,IF($M$1="Santiago del Estero",B107,IF($M$1="Tartagal",B107,IF($M$1="Tinogasta",B144,IF($M$1="Catamarca",B162,IF($M$1="Achalco",B180,0))))))))</f>
        <v>4.38972916666666</v>
      </c>
      <c r="K4" s="78">
        <f t="shared" ref="K4:V4" si="0">IF($M$1="Salta",C49,IF($M$1="Jujuy",C70,IF($M$1="La Quiaca",C89,IF($M$1="Santiago del Estero",C107,IF($M$1="Tartagal",C107,IF($M$1="Tinogasta",C144,IF($M$1="Catamarca",C162,IF($M$1="Achalco",C180,0))))))))</f>
        <v>7.8773333333333238</v>
      </c>
      <c r="L4" s="78">
        <f t="shared" si="0"/>
        <v>12.969818749999998</v>
      </c>
      <c r="M4" s="78">
        <f t="shared" si="0"/>
        <v>65.259500000000003</v>
      </c>
      <c r="N4" s="78">
        <f t="shared" si="0"/>
        <v>167.46458333333342</v>
      </c>
      <c r="O4" s="78">
        <f t="shared" si="0"/>
        <v>204.19300000000001</v>
      </c>
      <c r="P4" s="78">
        <f t="shared" si="0"/>
        <v>235.87331666666657</v>
      </c>
      <c r="Q4" s="78">
        <f t="shared" si="0"/>
        <v>193.28887499999999</v>
      </c>
      <c r="R4" s="78">
        <f t="shared" si="0"/>
        <v>137.54306249999999</v>
      </c>
      <c r="S4" s="78">
        <f t="shared" si="0"/>
        <v>55.012599999999985</v>
      </c>
      <c r="T4" s="78">
        <f t="shared" si="0"/>
        <v>27.615312499999987</v>
      </c>
      <c r="U4" s="78">
        <f t="shared" si="0"/>
        <v>9.0933333333333426</v>
      </c>
      <c r="V4" s="78">
        <f t="shared" si="0"/>
        <v>1120.5804645833332</v>
      </c>
    </row>
    <row r="5" spans="9:22">
      <c r="I5" s="1"/>
    </row>
    <row r="6" spans="9:22">
      <c r="I6" s="1" t="s">
        <v>163</v>
      </c>
      <c r="J6" s="1" t="s">
        <v>164</v>
      </c>
    </row>
    <row r="7" spans="9:22">
      <c r="I7" s="1" t="s">
        <v>165</v>
      </c>
      <c r="J7" s="78">
        <f t="shared" ref="J7:U7" si="1">IF($M$1="Salta",B52,IF($M$1="Jujuy",B73,IF($M$1="La Quiaca",B92,IF($M$1="Santiago del Estero",B110,IF($M$1="Tartagal",B110,IF($M$1="Tinogasta",B147,IF($M$1="Catamarca",B165,IF($M$1="Achalco",B183,0))))))))</f>
        <v>0</v>
      </c>
      <c r="K7" s="78">
        <f t="shared" si="1"/>
        <v>0</v>
      </c>
      <c r="L7" s="78">
        <f t="shared" si="1"/>
        <v>0</v>
      </c>
      <c r="M7" s="78">
        <f t="shared" si="1"/>
        <v>2.9636947776810301</v>
      </c>
      <c r="N7" s="78">
        <f t="shared" si="1"/>
        <v>1.4835693250833979</v>
      </c>
      <c r="O7" s="78">
        <f t="shared" si="1"/>
        <v>1.2800871613845186</v>
      </c>
      <c r="P7" s="78">
        <f t="shared" si="1"/>
        <v>1.1573835673888542</v>
      </c>
      <c r="Q7" s="78">
        <f t="shared" si="1"/>
        <v>1.4020516643519025</v>
      </c>
      <c r="R7" s="78">
        <f t="shared" si="1"/>
        <v>1.3701672624046124</v>
      </c>
      <c r="S7" s="78">
        <f t="shared" si="1"/>
        <v>3.2856989470223943</v>
      </c>
      <c r="T7" s="78">
        <f t="shared" si="1"/>
        <v>0</v>
      </c>
      <c r="U7" s="78">
        <f t="shared" si="1"/>
        <v>0</v>
      </c>
    </row>
    <row r="8" spans="9:22">
      <c r="I8" s="1" t="s">
        <v>166</v>
      </c>
      <c r="J8" s="78">
        <f t="shared" ref="J8:U8" si="2">IF($M$1="Salta",B53,IF($M$1="Jujuy",B74,IF($M$1="La Quiaca",B93,IF($M$1="Santiago del Estero",B111,IF($M$1="Tartagal",B111,IF($M$1="Tinogasta",B148,IF($M$1="Catamarca",B166,IF($M$1="Achalco",B184,0))))))))</f>
        <v>0</v>
      </c>
      <c r="K8" s="78">
        <f t="shared" si="2"/>
        <v>0</v>
      </c>
      <c r="L8" s="78">
        <f t="shared" si="2"/>
        <v>0</v>
      </c>
      <c r="M8" s="78">
        <f t="shared" si="2"/>
        <v>2.1885433296710697</v>
      </c>
      <c r="N8" s="78">
        <f t="shared" si="2"/>
        <v>1.1048098532717263</v>
      </c>
      <c r="O8" s="78">
        <f t="shared" si="2"/>
        <v>0.95629800655929353</v>
      </c>
      <c r="P8" s="78">
        <f t="shared" si="2"/>
        <v>0.85889107554436772</v>
      </c>
      <c r="Q8" s="78">
        <f t="shared" si="2"/>
        <v>1.008210069122196</v>
      </c>
      <c r="R8" s="78">
        <f t="shared" si="2"/>
        <v>0.98298438742229399</v>
      </c>
      <c r="S8" s="78">
        <f t="shared" si="2"/>
        <v>2.2986744691502117</v>
      </c>
      <c r="T8" s="78">
        <f t="shared" si="2"/>
        <v>0</v>
      </c>
      <c r="U8" s="78">
        <f t="shared" si="2"/>
        <v>0</v>
      </c>
    </row>
    <row r="9" spans="9:22">
      <c r="I9" s="1" t="s">
        <v>167</v>
      </c>
      <c r="J9" s="78">
        <f t="shared" ref="J9:U9" si="3">IF($M$1="Salta",B54,IF($M$1="Jujuy",B75,IF($M$1="La Quiaca",B94,IF($M$1="Santiago del Estero",B112,IF($M$1="Tartagal",B112,IF($M$1="Tinogasta",B149,IF($M$1="Catamarca",B167,IF($M$1="Achalco",B185,0))))))))</f>
        <v>0</v>
      </c>
      <c r="K9" s="78">
        <f t="shared" si="3"/>
        <v>0</v>
      </c>
      <c r="L9" s="78">
        <f t="shared" si="3"/>
        <v>0</v>
      </c>
      <c r="M9" s="78">
        <f t="shared" si="3"/>
        <v>2.9855325286744696</v>
      </c>
      <c r="N9" s="78">
        <f t="shared" si="3"/>
        <v>1.4945008885313811</v>
      </c>
      <c r="O9" s="78">
        <f t="shared" si="3"/>
        <v>1.2895193825736677</v>
      </c>
      <c r="P9" s="78">
        <f t="shared" si="3"/>
        <v>1.1659116568327721</v>
      </c>
      <c r="Q9" s="78">
        <f t="shared" si="3"/>
        <v>1.4123825713523901</v>
      </c>
      <c r="R9" s="78">
        <f t="shared" si="3"/>
        <v>1.3802632317065415</v>
      </c>
      <c r="S9" s="78">
        <f t="shared" si="3"/>
        <v>3.3099093603162437</v>
      </c>
      <c r="T9" s="78">
        <f t="shared" si="3"/>
        <v>0</v>
      </c>
      <c r="U9" s="78">
        <f t="shared" si="3"/>
        <v>0</v>
      </c>
    </row>
    <row r="10" spans="9:22">
      <c r="I10" s="1" t="s">
        <v>168</v>
      </c>
      <c r="J10" s="78">
        <f t="shared" ref="J10:U10" si="4">IF($M$1="Salta",B55,IF($M$1="Jujuy",B76,IF($M$1="La Quiaca",B95,IF($M$1="Santiago del Estero",B113,IF($M$1="Tartagal",B113,IF($M$1="Tinogasta",B150,IF($M$1="Catamarca",B168,IF($M$1="Achalco",B186,0))))))))</f>
        <v>0</v>
      </c>
      <c r="K10" s="78">
        <f t="shared" si="4"/>
        <v>0</v>
      </c>
      <c r="L10" s="78">
        <f t="shared" si="4"/>
        <v>0</v>
      </c>
      <c r="M10" s="78">
        <f t="shared" si="4"/>
        <v>2.1571502901061157</v>
      </c>
      <c r="N10" s="78">
        <f t="shared" si="4"/>
        <v>1.0889621709502058</v>
      </c>
      <c r="O10" s="78">
        <f t="shared" si="4"/>
        <v>0.9425806171209431</v>
      </c>
      <c r="P10" s="78">
        <f t="shared" si="4"/>
        <v>0.8465709166738542</v>
      </c>
      <c r="Q10" s="78">
        <f t="shared" si="4"/>
        <v>0.99374803944216439</v>
      </c>
      <c r="R10" s="78">
        <f t="shared" si="4"/>
        <v>0.96888420153713817</v>
      </c>
      <c r="S10" s="78">
        <f t="shared" si="4"/>
        <v>2.2657016796337128</v>
      </c>
      <c r="T10" s="78">
        <f t="shared" si="4"/>
        <v>0</v>
      </c>
      <c r="U10" s="78">
        <f t="shared" si="4"/>
        <v>0</v>
      </c>
    </row>
    <row r="11" spans="9:22">
      <c r="I11" s="1"/>
    </row>
    <row r="12" spans="9:22">
      <c r="I12" s="1" t="s">
        <v>163</v>
      </c>
      <c r="J12" s="1" t="s">
        <v>169</v>
      </c>
    </row>
    <row r="13" spans="9:22">
      <c r="I13" s="1" t="s">
        <v>165</v>
      </c>
      <c r="J13" s="78">
        <f t="shared" ref="J13:J16" si="5">IF($M$1="Salta",B58,IF($M$1="Jujuy",B79,IF($M$1="La Quiaca",B98,IF($M$1="Santiago del Estero",B116,IF($M$1="Tartagal",B116,IF($M$1="Tinogasta",B153,IF($M$1="Catamarca",B171,IF($M$1="Achalco",B189,0))))))))</f>
        <v>0</v>
      </c>
      <c r="K13" s="78">
        <f t="shared" ref="K13:K16" si="6">IF($M$1="Salta",C58,IF($M$1="Jujuy",C79,IF($M$1="La Quiaca",C98,IF($M$1="Santiago del Estero",C116,IF($M$1="Tartagal",C116,IF($M$1="Tinogasta",C153,IF($M$1="Catamarca",C171,IF($M$1="Achalco",C189,0))))))))</f>
        <v>0</v>
      </c>
      <c r="L13" s="78">
        <f t="shared" ref="L13:L16" si="7">IF($M$1="Salta",D58,IF($M$1="Jujuy",D79,IF($M$1="La Quiaca",D98,IF($M$1="Santiago del Estero",D116,IF($M$1="Tartagal",D116,IF($M$1="Tinogasta",D153,IF($M$1="Catamarca",D171,IF($M$1="Achalco",D189,0))))))))</f>
        <v>0</v>
      </c>
      <c r="M13" s="78">
        <f t="shared" ref="M13:M16" si="8">IF($M$1="Salta",E58,IF($M$1="Jujuy",E79,IF($M$1="La Quiaca",E98,IF($M$1="Santiago del Estero",E116,IF($M$1="Tartagal",E116,IF($M$1="Tinogasta",E153,IF($M$1="Catamarca",E171,IF($M$1="Achalco",E189,0))))))))</f>
        <v>144.97144676647264</v>
      </c>
      <c r="N13" s="78">
        <f t="shared" ref="N13:N16" si="9">IF($M$1="Salta",F58,IF($M$1="Jujuy",F79,IF($M$1="La Quiaca",F98,IF($M$1="Santiago del Estero",F116,IF($M$1="Tartagal",F116,IF($M$1="Tinogasta",F153,IF($M$1="Catamarca",F171,IF($M$1="Achalco",F189,0))))))))</f>
        <v>72.56995324059217</v>
      </c>
      <c r="O13" s="78">
        <f t="shared" ref="O13:O16" si="10">IF($M$1="Salta",G58,IF($M$1="Jujuy",G79,IF($M$1="La Quiaca",G98,IF($M$1="Santiago del Estero",G116,IF($M$1="Tartagal",G116,IF($M$1="Tinogasta",G153,IF($M$1="Catamarca",G171,IF($M$1="Achalco",G189,0))))))))</f>
        <v>62.616464141528944</v>
      </c>
      <c r="P13" s="78">
        <f t="shared" ref="P13:P16" si="11">IF($M$1="Salta",H58,IF($M$1="Jujuy",H79,IF($M$1="La Quiaca",H98,IF($M$1="Santiago del Estero",H116,IF($M$1="Tartagal",H116,IF($M$1="Tinogasta",H153,IF($M$1="Catamarca",H171,IF($M$1="Achalco",H189,0))))))))</f>
        <v>56.614321923997309</v>
      </c>
      <c r="Q13" s="78">
        <f t="shared" ref="Q13:Q16" si="12">IF($M$1="Salta",I58,IF($M$1="Jujuy",I79,IF($M$1="La Quiaca",I98,IF($M$1="Santiago del Estero",I116,IF($M$1="Tartagal",I116,IF($M$1="Tinogasta",I153,IF($M$1="Catamarca",I171,IF($M$1="Achalco",I189,0))))))))</f>
        <v>68.582453143665774</v>
      </c>
      <c r="R13" s="78">
        <f t="shared" ref="R13:R16" si="13">IF($M$1="Salta",J58,IF($M$1="Jujuy",J79,IF($M$1="La Quiaca",J98,IF($M$1="Santiago del Estero",J116,IF($M$1="Tartagal",J116,IF($M$1="Tinogasta",J153,IF($M$1="Catamarca",J171,IF($M$1="Achalco",J189,0))))))))</f>
        <v>67.022802698420136</v>
      </c>
      <c r="S13" s="78">
        <f t="shared" ref="S13:S16" si="14">IF($M$1="Salta",K58,IF($M$1="Jujuy",K79,IF($M$1="La Quiaca",K98,IF($M$1="Santiago del Estero",K116,IF($M$1="Tartagal",K116,IF($M$1="Tinogasta",K153,IF($M$1="Catamarca",K171,IF($M$1="Achalco",K189,0))))))))</f>
        <v>160.72253242002975</v>
      </c>
      <c r="T13" s="78">
        <f t="shared" ref="T13:T16" si="15">IF($M$1="Salta",L58,IF($M$1="Jujuy",L79,IF($M$1="La Quiaca",L98,IF($M$1="Santiago del Estero",L116,IF($M$1="Tartagal",L116,IF($M$1="Tinogasta",L153,IF($M$1="Catamarca",L171,IF($M$1="Achalco",L189,0))))))))</f>
        <v>0</v>
      </c>
      <c r="U13" s="78">
        <f t="shared" ref="U13:U16" si="16">IF($M$1="Salta",M58,IF($M$1="Jujuy",M79,IF($M$1="La Quiaca",M98,IF($M$1="Santiago del Estero",M116,IF($M$1="Tartagal",M116,IF($M$1="Tinogasta",M153,IF($M$1="Catamarca",M171,IF($M$1="Achalco",M189,0))))))))</f>
        <v>0</v>
      </c>
    </row>
    <row r="14" spans="9:22">
      <c r="I14" s="1" t="s">
        <v>166</v>
      </c>
      <c r="J14" s="78">
        <f t="shared" si="5"/>
        <v>0</v>
      </c>
      <c r="K14" s="78">
        <f t="shared" si="6"/>
        <v>0</v>
      </c>
      <c r="L14" s="78">
        <f t="shared" si="7"/>
        <v>0</v>
      </c>
      <c r="M14" s="78">
        <f t="shared" si="8"/>
        <v>107.0543077522254</v>
      </c>
      <c r="N14" s="78">
        <f t="shared" si="9"/>
        <v>54.04263760115667</v>
      </c>
      <c r="O14" s="78">
        <f t="shared" si="10"/>
        <v>46.778064527708025</v>
      </c>
      <c r="P14" s="78">
        <f t="shared" si="11"/>
        <v>42.013328354246511</v>
      </c>
      <c r="Q14" s="78">
        <f t="shared" si="12"/>
        <v>49.317383647561591</v>
      </c>
      <c r="R14" s="78">
        <f t="shared" si="13"/>
        <v>48.083449708329574</v>
      </c>
      <c r="S14" s="78">
        <f t="shared" si="14"/>
        <v>112.44145852921062</v>
      </c>
      <c r="T14" s="78">
        <f t="shared" si="15"/>
        <v>0</v>
      </c>
      <c r="U14" s="78">
        <f t="shared" si="16"/>
        <v>0</v>
      </c>
    </row>
    <row r="15" spans="9:22">
      <c r="I15" s="1" t="s">
        <v>167</v>
      </c>
      <c r="J15" s="78">
        <f t="shared" si="5"/>
        <v>0</v>
      </c>
      <c r="K15" s="78">
        <f t="shared" si="6"/>
        <v>0</v>
      </c>
      <c r="L15" s="78">
        <f t="shared" si="7"/>
        <v>0</v>
      </c>
      <c r="M15" s="78">
        <f t="shared" si="8"/>
        <v>146.03965742685719</v>
      </c>
      <c r="N15" s="78">
        <f t="shared" si="9"/>
        <v>73.104679211838643</v>
      </c>
      <c r="O15" s="78">
        <f t="shared" si="10"/>
        <v>63.077848614150732</v>
      </c>
      <c r="P15" s="78">
        <f t="shared" si="11"/>
        <v>57.031480085542555</v>
      </c>
      <c r="Q15" s="78">
        <f t="shared" si="12"/>
        <v>69.087797535250672</v>
      </c>
      <c r="R15" s="78">
        <f t="shared" si="13"/>
        <v>67.516654928829567</v>
      </c>
      <c r="S15" s="78">
        <f t="shared" si="14"/>
        <v>161.90680371154576</v>
      </c>
      <c r="T15" s="78">
        <f t="shared" si="15"/>
        <v>0</v>
      </c>
      <c r="U15" s="78">
        <f t="shared" si="16"/>
        <v>0</v>
      </c>
    </row>
    <row r="16" spans="9:22">
      <c r="I16" s="1" t="s">
        <v>168</v>
      </c>
      <c r="J16" s="78">
        <f t="shared" si="5"/>
        <v>0</v>
      </c>
      <c r="K16" s="78">
        <f t="shared" si="6"/>
        <v>0</v>
      </c>
      <c r="L16" s="78">
        <f t="shared" si="7"/>
        <v>0</v>
      </c>
      <c r="M16" s="78">
        <f t="shared" si="8"/>
        <v>105.51869268200905</v>
      </c>
      <c r="N16" s="78">
        <f t="shared" si="9"/>
        <v>53.267435832287624</v>
      </c>
      <c r="O16" s="78">
        <f t="shared" si="10"/>
        <v>46.107067700466317</v>
      </c>
      <c r="P16" s="78">
        <f t="shared" si="11"/>
        <v>41.410678152443793</v>
      </c>
      <c r="Q16" s="78">
        <f t="shared" si="12"/>
        <v>48.60996216081378</v>
      </c>
      <c r="R16" s="78">
        <f t="shared" si="13"/>
        <v>47.393728093660911</v>
      </c>
      <c r="S16" s="78">
        <f t="shared" si="14"/>
        <v>110.82856875522606</v>
      </c>
      <c r="T16" s="78">
        <f t="shared" si="15"/>
        <v>0</v>
      </c>
      <c r="U16" s="78">
        <f t="shared" si="16"/>
        <v>0</v>
      </c>
    </row>
    <row r="20" spans="1:22">
      <c r="A20" t="s">
        <v>170</v>
      </c>
      <c r="B20">
        <f>+'Balance calefacción'!M42*5.67</f>
        <v>71.189423648437497</v>
      </c>
      <c r="J20" s="1" t="s">
        <v>171</v>
      </c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</row>
    <row r="21" spans="1:22">
      <c r="I21" t="s">
        <v>2</v>
      </c>
      <c r="J21" s="1">
        <v>1</v>
      </c>
      <c r="K21" s="1">
        <v>2</v>
      </c>
      <c r="L21" s="1">
        <v>3</v>
      </c>
      <c r="M21" s="1">
        <v>4</v>
      </c>
      <c r="N21" s="1">
        <v>5</v>
      </c>
      <c r="O21" s="1">
        <v>6</v>
      </c>
      <c r="P21" s="1">
        <v>7</v>
      </c>
      <c r="Q21" s="1">
        <v>8</v>
      </c>
      <c r="R21" s="1">
        <v>9</v>
      </c>
      <c r="S21" s="1">
        <v>10</v>
      </c>
      <c r="T21" s="1">
        <v>11</v>
      </c>
      <c r="U21" s="1">
        <v>12</v>
      </c>
    </row>
    <row r="22" spans="1:22">
      <c r="B22" s="1" t="s">
        <v>172</v>
      </c>
      <c r="C22" s="1" t="s">
        <v>173</v>
      </c>
      <c r="D22" s="1" t="s">
        <v>174</v>
      </c>
      <c r="E22" s="1" t="s">
        <v>175</v>
      </c>
      <c r="F22" s="1" t="s">
        <v>176</v>
      </c>
      <c r="G22" s="1" t="s">
        <v>177</v>
      </c>
    </row>
    <row r="23" spans="1:22">
      <c r="A23" s="1" t="s">
        <v>85</v>
      </c>
      <c r="B23">
        <v>1.0043</v>
      </c>
      <c r="C23">
        <v>0.47170000000000001</v>
      </c>
      <c r="D23">
        <v>1.19</v>
      </c>
      <c r="E23">
        <v>26.4</v>
      </c>
      <c r="F23">
        <v>0</v>
      </c>
      <c r="G23">
        <v>1.8</v>
      </c>
      <c r="J23" s="79">
        <f>IF(+(1-$B23*EXP((-$C23*(J$14-$E23*$D23)/$B$20)))&lt;0,0,+(1-$B23*EXP((-$C23*(J$14-$E23*$D23)/$B$20))))</f>
        <v>0</v>
      </c>
      <c r="K23" s="79">
        <f t="shared" ref="K23:U24" si="17">IF(+(1-$B23*EXP((-$C23*(K$14-$E23*$D23)/$B$20)))&lt;0,0,+(1-$B23*EXP((-$C23*(K$14-$E23*$D23)/$B$20))))</f>
        <v>0</v>
      </c>
      <c r="L23" s="79">
        <f t="shared" si="17"/>
        <v>0</v>
      </c>
      <c r="M23" s="79">
        <f t="shared" si="17"/>
        <v>0.39157854500185496</v>
      </c>
      <c r="N23" s="79">
        <f t="shared" si="17"/>
        <v>0.1355250607516667</v>
      </c>
      <c r="O23" s="79">
        <f t="shared" si="17"/>
        <v>9.2895858951736687E-2</v>
      </c>
      <c r="P23" s="79">
        <f t="shared" si="17"/>
        <v>6.3800748261919171E-2</v>
      </c>
      <c r="Q23" s="79">
        <f t="shared" si="17"/>
        <v>0.10803064709279475</v>
      </c>
      <c r="R23" s="79">
        <f t="shared" si="17"/>
        <v>0.10070798737513764</v>
      </c>
      <c r="S23" s="79">
        <f t="shared" si="17"/>
        <v>0.41291321834457462</v>
      </c>
      <c r="T23" s="79">
        <f t="shared" si="17"/>
        <v>0</v>
      </c>
      <c r="U23" s="79">
        <f t="shared" si="17"/>
        <v>0</v>
      </c>
      <c r="V23" s="79">
        <f t="shared" ref="V23:V42" si="18">+(J23*J$4+K23*K$4+L23*L$4+M23*M$4+N23*N$4+O23*O$4+P23*P$4+Q23*Q$4+R23*R$4+S23*S$4+T23*T$4+U23*U$4)/V$4</f>
        <v>0.1246815266623147</v>
      </c>
    </row>
    <row r="24" spans="1:22">
      <c r="A24" s="1" t="s">
        <v>109</v>
      </c>
      <c r="B24">
        <v>1.0075000000000001</v>
      </c>
      <c r="C24">
        <v>1.105</v>
      </c>
      <c r="D24">
        <v>1.0900000000000001</v>
      </c>
      <c r="E24">
        <v>11.8</v>
      </c>
      <c r="F24">
        <v>0</v>
      </c>
      <c r="G24">
        <v>1.8</v>
      </c>
      <c r="J24" s="79">
        <f t="shared" ref="J24:U41" si="19">IF(+(1-$B24*EXP((-$C24*(J$14-$E24*$D24)/$B$20)))&lt;0,0,+(1-$B24*EXP((-$C24*(J$14-$E24*$D24)/$B$20))))</f>
        <v>0</v>
      </c>
      <c r="K24" s="79">
        <f t="shared" si="17"/>
        <v>0</v>
      </c>
      <c r="L24" s="79">
        <f t="shared" si="17"/>
        <v>0</v>
      </c>
      <c r="M24" s="79">
        <f t="shared" si="17"/>
        <v>0.76650112745990939</v>
      </c>
      <c r="N24" s="79">
        <f t="shared" si="17"/>
        <v>0.46833014191879418</v>
      </c>
      <c r="O24" s="79">
        <f t="shared" si="17"/>
        <v>0.4048680149959909</v>
      </c>
      <c r="P24" s="79">
        <f t="shared" si="17"/>
        <v>0.35918468847841634</v>
      </c>
      <c r="Q24" s="79">
        <f t="shared" si="17"/>
        <v>0.42786900763873092</v>
      </c>
      <c r="R24" s="79">
        <f t="shared" si="17"/>
        <v>0.41680532110621005</v>
      </c>
      <c r="S24" s="79">
        <f t="shared" si="17"/>
        <v>0.78523206711191218</v>
      </c>
      <c r="T24" s="79">
        <f t="shared" si="17"/>
        <v>0</v>
      </c>
      <c r="U24" s="79">
        <f t="shared" si="17"/>
        <v>0</v>
      </c>
      <c r="V24" s="79">
        <f t="shared" si="18"/>
        <v>0.42752141678477412</v>
      </c>
    </row>
    <row r="25" spans="1:22">
      <c r="A25" s="1" t="s">
        <v>110</v>
      </c>
      <c r="B25" s="80">
        <v>1.0125</v>
      </c>
      <c r="C25">
        <v>1.0748</v>
      </c>
      <c r="D25">
        <v>0.94</v>
      </c>
      <c r="E25">
        <v>14.6</v>
      </c>
      <c r="F25">
        <v>4</v>
      </c>
      <c r="G25">
        <v>1.8</v>
      </c>
      <c r="J25" s="79">
        <f t="shared" si="19"/>
        <v>0</v>
      </c>
      <c r="K25" s="79">
        <f t="shared" si="19"/>
        <v>0</v>
      </c>
      <c r="L25" s="79">
        <f t="shared" si="19"/>
        <v>0</v>
      </c>
      <c r="M25" s="79">
        <f t="shared" si="19"/>
        <v>0.75257678199349942</v>
      </c>
      <c r="N25" s="79">
        <f t="shared" si="19"/>
        <v>0.44915296531801652</v>
      </c>
      <c r="O25" s="79">
        <f t="shared" si="19"/>
        <v>0.38529907274014807</v>
      </c>
      <c r="P25" s="79">
        <f t="shared" si="19"/>
        <v>0.33945011986690277</v>
      </c>
      <c r="Q25" s="79">
        <f t="shared" si="19"/>
        <v>0.40841945112089173</v>
      </c>
      <c r="R25" s="79">
        <f t="shared" si="19"/>
        <v>0.39729522960806696</v>
      </c>
      <c r="S25" s="79">
        <f t="shared" si="19"/>
        <v>0.77190403098976401</v>
      </c>
      <c r="T25" s="79">
        <f t="shared" si="19"/>
        <v>0</v>
      </c>
      <c r="U25" s="79">
        <f t="shared" si="19"/>
        <v>0</v>
      </c>
      <c r="V25" s="79">
        <f t="shared" si="18"/>
        <v>0.40972085352969623</v>
      </c>
    </row>
    <row r="26" spans="1:22">
      <c r="A26" s="1" t="s">
        <v>111</v>
      </c>
      <c r="B26" s="80">
        <v>1.0699000000000001</v>
      </c>
      <c r="C26">
        <v>1.3052999999999999</v>
      </c>
      <c r="D26">
        <v>0.78</v>
      </c>
      <c r="E26">
        <v>8.4</v>
      </c>
      <c r="F26">
        <v>4</v>
      </c>
      <c r="G26">
        <v>9</v>
      </c>
      <c r="J26" s="79">
        <f t="shared" si="19"/>
        <v>0</v>
      </c>
      <c r="K26" s="79">
        <f t="shared" si="19"/>
        <v>0</v>
      </c>
      <c r="L26" s="79">
        <f t="shared" si="19"/>
        <v>0</v>
      </c>
      <c r="M26" s="79">
        <f t="shared" si="19"/>
        <v>0.83055108834327473</v>
      </c>
      <c r="N26" s="79">
        <f t="shared" si="19"/>
        <v>0.55210821068837523</v>
      </c>
      <c r="O26" s="79">
        <f t="shared" si="19"/>
        <v>0.4882931582669835</v>
      </c>
      <c r="P26" s="79">
        <f t="shared" si="19"/>
        <v>0.44157734069765631</v>
      </c>
      <c r="Q26" s="79">
        <f t="shared" si="19"/>
        <v>0.51157204668720857</v>
      </c>
      <c r="R26" s="79">
        <f t="shared" si="19"/>
        <v>0.50039545254656426</v>
      </c>
      <c r="S26" s="79">
        <f t="shared" si="19"/>
        <v>0.84648859043142766</v>
      </c>
      <c r="T26" s="79">
        <f t="shared" si="19"/>
        <v>0</v>
      </c>
      <c r="U26" s="79">
        <f t="shared" si="19"/>
        <v>0</v>
      </c>
      <c r="V26" s="79">
        <f t="shared" si="18"/>
        <v>0.50402174717432247</v>
      </c>
    </row>
    <row r="27" spans="1:22">
      <c r="A27" s="1" t="s">
        <v>124</v>
      </c>
      <c r="B27">
        <v>0.99739999999999995</v>
      </c>
      <c r="C27">
        <v>0.40360000000000001</v>
      </c>
      <c r="D27">
        <v>0.91</v>
      </c>
      <c r="E27">
        <v>22</v>
      </c>
      <c r="F27">
        <v>0</v>
      </c>
      <c r="G27">
        <v>4.5999999999999996</v>
      </c>
      <c r="J27" s="79">
        <f t="shared" si="19"/>
        <v>0</v>
      </c>
      <c r="K27" s="79">
        <f t="shared" si="19"/>
        <v>0</v>
      </c>
      <c r="L27" s="79">
        <f t="shared" si="19"/>
        <v>0</v>
      </c>
      <c r="M27" s="79">
        <f t="shared" si="19"/>
        <v>0.39105911098748114</v>
      </c>
      <c r="N27" s="79">
        <f t="shared" si="19"/>
        <v>0.17756900571233258</v>
      </c>
      <c r="O27" s="79">
        <f t="shared" si="19"/>
        <v>0.14298945965632925</v>
      </c>
      <c r="P27" s="79">
        <f t="shared" si="19"/>
        <v>0.11952342387472492</v>
      </c>
      <c r="Q27" s="79">
        <f t="shared" si="19"/>
        <v>0.15523891405720647</v>
      </c>
      <c r="R27" s="79">
        <f t="shared" si="19"/>
        <v>0.14930854856429709</v>
      </c>
      <c r="S27" s="79">
        <f t="shared" si="19"/>
        <v>0.40937612837054005</v>
      </c>
      <c r="T27" s="79">
        <f t="shared" si="19"/>
        <v>0</v>
      </c>
      <c r="U27" s="79">
        <f t="shared" si="19"/>
        <v>0</v>
      </c>
      <c r="V27" s="79">
        <f t="shared" si="18"/>
        <v>0.16572645687006696</v>
      </c>
    </row>
    <row r="28" spans="1:22">
      <c r="A28" s="1" t="s">
        <v>112</v>
      </c>
      <c r="B28">
        <v>1.0513999999999999</v>
      </c>
      <c r="C28">
        <v>0.68859999999999999</v>
      </c>
      <c r="D28">
        <v>1.01</v>
      </c>
      <c r="E28">
        <v>8.9</v>
      </c>
      <c r="F28">
        <v>9</v>
      </c>
      <c r="G28">
        <v>4.5999999999999996</v>
      </c>
      <c r="J28" s="79">
        <f t="shared" si="19"/>
        <v>0</v>
      </c>
      <c r="K28" s="79">
        <f t="shared" si="19"/>
        <v>0</v>
      </c>
      <c r="L28" s="79">
        <f t="shared" si="19"/>
        <v>0</v>
      </c>
      <c r="M28" s="79">
        <f t="shared" si="19"/>
        <v>0.59279642865285376</v>
      </c>
      <c r="N28" s="79">
        <f t="shared" si="19"/>
        <v>0.32000616525170211</v>
      </c>
      <c r="O28" s="79">
        <f t="shared" si="19"/>
        <v>0.27050509322329164</v>
      </c>
      <c r="P28" s="79">
        <f t="shared" si="19"/>
        <v>0.23609712398773219</v>
      </c>
      <c r="Q28" s="79">
        <f t="shared" si="19"/>
        <v>0.28820489376118175</v>
      </c>
      <c r="R28" s="79">
        <f t="shared" si="19"/>
        <v>0.27965830505542255</v>
      </c>
      <c r="S28" s="79">
        <f t="shared" si="19"/>
        <v>0.61347193304169223</v>
      </c>
      <c r="T28" s="79">
        <f t="shared" si="19"/>
        <v>0</v>
      </c>
      <c r="U28" s="79">
        <f t="shared" si="19"/>
        <v>0</v>
      </c>
      <c r="V28" s="79">
        <f t="shared" si="18"/>
        <v>0.29548980354291809</v>
      </c>
    </row>
    <row r="29" spans="1:22">
      <c r="A29" s="1" t="s">
        <v>125</v>
      </c>
      <c r="B29">
        <v>1.0188999999999999</v>
      </c>
      <c r="C29">
        <v>0.6502</v>
      </c>
      <c r="D29">
        <v>0.86</v>
      </c>
      <c r="E29">
        <v>13</v>
      </c>
      <c r="F29">
        <v>0</v>
      </c>
      <c r="G29">
        <v>4.5999999999999996</v>
      </c>
      <c r="J29" s="79">
        <f t="shared" si="19"/>
        <v>0</v>
      </c>
      <c r="K29" s="79">
        <f t="shared" si="19"/>
        <v>0</v>
      </c>
      <c r="L29" s="79">
        <f t="shared" si="19"/>
        <v>0</v>
      </c>
      <c r="M29" s="79">
        <f t="shared" si="19"/>
        <v>0.5755379992756624</v>
      </c>
      <c r="N29" s="79">
        <f t="shared" si="19"/>
        <v>0.31116747556184565</v>
      </c>
      <c r="O29" s="79">
        <f t="shared" si="19"/>
        <v>0.26391303444650871</v>
      </c>
      <c r="P29" s="79">
        <f t="shared" si="19"/>
        <v>0.23117266406810222</v>
      </c>
      <c r="Q29" s="79">
        <f t="shared" si="19"/>
        <v>0.28078833166041217</v>
      </c>
      <c r="R29" s="79">
        <f t="shared" si="19"/>
        <v>0.27263697928995767</v>
      </c>
      <c r="S29" s="79">
        <f t="shared" si="19"/>
        <v>0.5959172856036421</v>
      </c>
      <c r="T29" s="79">
        <f t="shared" si="19"/>
        <v>0</v>
      </c>
      <c r="U29" s="79">
        <f t="shared" si="19"/>
        <v>0</v>
      </c>
      <c r="V29" s="79">
        <f t="shared" si="18"/>
        <v>0.28792314896615018</v>
      </c>
    </row>
    <row r="30" spans="1:22">
      <c r="A30" s="1" t="s">
        <v>113</v>
      </c>
      <c r="B30">
        <v>1.0781000000000001</v>
      </c>
      <c r="C30">
        <v>0.8952</v>
      </c>
      <c r="D30">
        <v>0.82</v>
      </c>
      <c r="E30">
        <v>5.8</v>
      </c>
      <c r="F30">
        <v>9</v>
      </c>
      <c r="G30">
        <v>4.5999999999999996</v>
      </c>
      <c r="J30" s="79">
        <f t="shared" si="19"/>
        <v>0</v>
      </c>
      <c r="K30" s="79">
        <f t="shared" si="19"/>
        <v>0</v>
      </c>
      <c r="L30" s="79">
        <f t="shared" si="19"/>
        <v>0</v>
      </c>
      <c r="M30" s="79">
        <f t="shared" si="19"/>
        <v>0.70215763980903345</v>
      </c>
      <c r="N30" s="79">
        <f t="shared" si="19"/>
        <v>0.41991137611241858</v>
      </c>
      <c r="O30" s="79">
        <f t="shared" si="19"/>
        <v>0.36442367639156237</v>
      </c>
      <c r="P30" s="79">
        <f t="shared" si="19"/>
        <v>0.32517845899593889</v>
      </c>
      <c r="Q30" s="79">
        <f t="shared" si="19"/>
        <v>0.38439809570786021</v>
      </c>
      <c r="R30" s="79">
        <f t="shared" si="19"/>
        <v>0.37477155605559298</v>
      </c>
      <c r="S30" s="79">
        <f t="shared" si="19"/>
        <v>0.72166610260058706</v>
      </c>
      <c r="T30" s="79">
        <f t="shared" si="19"/>
        <v>0</v>
      </c>
      <c r="U30" s="79">
        <f t="shared" si="19"/>
        <v>0</v>
      </c>
      <c r="V30" s="79">
        <f t="shared" si="18"/>
        <v>0.38623219917028179</v>
      </c>
    </row>
    <row r="31" spans="1:22">
      <c r="A31" s="1" t="s">
        <v>126</v>
      </c>
      <c r="B31">
        <v>1.0133000000000001</v>
      </c>
      <c r="C31">
        <v>0.54620000000000002</v>
      </c>
      <c r="D31">
        <v>0.88</v>
      </c>
      <c r="E31">
        <v>13</v>
      </c>
      <c r="F31">
        <v>4.5999999999999996</v>
      </c>
      <c r="G31">
        <v>4.5999999999999996</v>
      </c>
      <c r="J31" s="79">
        <f t="shared" si="19"/>
        <v>0</v>
      </c>
      <c r="K31" s="79">
        <f t="shared" si="19"/>
        <v>0</v>
      </c>
      <c r="L31" s="79">
        <f t="shared" si="19"/>
        <v>0</v>
      </c>
      <c r="M31" s="79">
        <f t="shared" si="19"/>
        <v>0.5134362262838863</v>
      </c>
      <c r="N31" s="79">
        <f t="shared" si="19"/>
        <v>0.26922955339947185</v>
      </c>
      <c r="O31" s="79">
        <f t="shared" si="19"/>
        <v>0.22734183375557959</v>
      </c>
      <c r="P31" s="79">
        <f t="shared" si="19"/>
        <v>0.19857281864531739</v>
      </c>
      <c r="Q31" s="79">
        <f t="shared" si="19"/>
        <v>0.24224975577625452</v>
      </c>
      <c r="R31" s="79">
        <f t="shared" si="19"/>
        <v>0.23504180780802453</v>
      </c>
      <c r="S31" s="79">
        <f t="shared" si="19"/>
        <v>0.53313733741423674</v>
      </c>
      <c r="T31" s="79">
        <f t="shared" si="19"/>
        <v>0</v>
      </c>
      <c r="U31" s="79">
        <f t="shared" si="19"/>
        <v>0</v>
      </c>
      <c r="V31" s="79">
        <f t="shared" si="18"/>
        <v>0.25016897898621537</v>
      </c>
    </row>
    <row r="32" spans="1:22">
      <c r="A32" s="1" t="s">
        <v>114</v>
      </c>
      <c r="B32">
        <v>1.0327</v>
      </c>
      <c r="C32">
        <v>0.35220000000000001</v>
      </c>
      <c r="D32">
        <v>0.78</v>
      </c>
      <c r="E32">
        <v>13</v>
      </c>
      <c r="F32">
        <v>4.5999999999999996</v>
      </c>
      <c r="G32">
        <v>4.5999999999999996</v>
      </c>
      <c r="J32" s="79">
        <f t="shared" si="19"/>
        <v>0</v>
      </c>
      <c r="K32" s="79">
        <f t="shared" si="19"/>
        <v>0</v>
      </c>
      <c r="L32" s="79">
        <f t="shared" si="19"/>
        <v>0</v>
      </c>
      <c r="M32" s="79">
        <f t="shared" si="19"/>
        <v>0.36064385778890606</v>
      </c>
      <c r="N32" s="79">
        <f t="shared" si="19"/>
        <v>0.16891699395060422</v>
      </c>
      <c r="O32" s="79">
        <f t="shared" si="19"/>
        <v>0.13850421360019027</v>
      </c>
      <c r="P32" s="79">
        <f t="shared" si="19"/>
        <v>0.11795502239929134</v>
      </c>
      <c r="Q32" s="79">
        <f t="shared" si="19"/>
        <v>0.149259430274991</v>
      </c>
      <c r="R32" s="79">
        <f t="shared" si="19"/>
        <v>0.1440500120425896</v>
      </c>
      <c r="S32" s="79">
        <f t="shared" si="19"/>
        <v>0.37745902732494585</v>
      </c>
      <c r="T32" s="79">
        <f t="shared" si="19"/>
        <v>0</v>
      </c>
      <c r="U32" s="79">
        <f t="shared" si="19"/>
        <v>0</v>
      </c>
      <c r="V32" s="79">
        <f t="shared" si="18"/>
        <v>0.1582709679030179</v>
      </c>
    </row>
    <row r="33" spans="1:25">
      <c r="A33" s="1" t="s">
        <v>618</v>
      </c>
      <c r="B33">
        <v>1.0118</v>
      </c>
      <c r="C33">
        <v>0.44019999999999998</v>
      </c>
      <c r="D33">
        <v>0.71</v>
      </c>
      <c r="E33">
        <v>22</v>
      </c>
      <c r="F33">
        <v>0</v>
      </c>
      <c r="G33">
        <v>4.5999999999999996</v>
      </c>
      <c r="J33" s="79">
        <f>IF(+(1-$B33*EXP((-$C33*(J$14-$E33*$D33)/$B$20)))&lt;0,0,+(1-$B33*EXP((-$C33*(J$14-$E33*$D33)/$B$20))))</f>
        <v>0</v>
      </c>
      <c r="K33" s="79">
        <f t="shared" si="19"/>
        <v>0</v>
      </c>
      <c r="L33" s="79">
        <f t="shared" si="19"/>
        <v>0</v>
      </c>
      <c r="M33" s="79">
        <f t="shared" si="19"/>
        <v>0.42515415773268361</v>
      </c>
      <c r="N33" s="79">
        <f t="shared" si="19"/>
        <v>0.20216667085386619</v>
      </c>
      <c r="O33" s="79">
        <f t="shared" si="19"/>
        <v>0.16551044811840621</v>
      </c>
      <c r="P33" s="79">
        <f t="shared" si="19"/>
        <v>0.14055830871454578</v>
      </c>
      <c r="Q33" s="79">
        <f t="shared" si="19"/>
        <v>0.17851117358820223</v>
      </c>
      <c r="R33" s="79">
        <f t="shared" si="19"/>
        <v>0.17221921253153916</v>
      </c>
      <c r="S33" s="79">
        <f t="shared" si="19"/>
        <v>0.4439876853987631</v>
      </c>
      <c r="T33" s="79">
        <f t="shared" si="19"/>
        <v>0</v>
      </c>
      <c r="U33" s="79">
        <f t="shared" si="19"/>
        <v>0</v>
      </c>
      <c r="V33" s="79">
        <f t="shared" si="18"/>
        <v>0.18844504245412771</v>
      </c>
    </row>
    <row r="34" spans="1:25">
      <c r="A34" s="1" t="s">
        <v>619</v>
      </c>
      <c r="B34">
        <v>1.0328999999999999</v>
      </c>
      <c r="C34">
        <v>0.68159999999999998</v>
      </c>
      <c r="D34">
        <v>0.64</v>
      </c>
      <c r="E34">
        <v>13</v>
      </c>
      <c r="F34">
        <v>0</v>
      </c>
      <c r="G34">
        <v>4.5999999999999996</v>
      </c>
      <c r="J34" s="79">
        <f>IF(+(1-$B34*EXP((-$C34*(J$14-$E34*$D34)/$B$20)))&lt;0,0,+(1-$B34*EXP((-$C34*(J$14-$E34*$D34)/$B$20))))</f>
        <v>0</v>
      </c>
      <c r="K34" s="79">
        <f>IF(+(1-$B34*EXP((-$C34*(K$14-$E34*$D34)/$B$20)))&lt;0,0,+(1-$B34*EXP((-$C34*(K$14-$E34*$D34)/$B$20))))</f>
        <v>0</v>
      </c>
      <c r="L34" s="79">
        <f>IF(+(1-$B34*EXP((-$C34*(L$14-$E34*$D34)/$B$20)))&lt;0,0,+(1-$B34*EXP((-$C34*(L$14-$E34*$D34)/$B$20))))</f>
        <v>0</v>
      </c>
      <c r="M34" s="79">
        <f>IF(+(1-$B34*EXP((-$C34*(M$14-$E34*$D34)/$B$20)))&lt;0,0,+(1-$B34*EXP((-$C34*(M$14-$E34*$D34)/$B$20))))</f>
        <v>0.5986642415494261</v>
      </c>
      <c r="N34" s="79">
        <f t="shared" si="19"/>
        <v>0.333289259183013</v>
      </c>
      <c r="O34" s="79">
        <f t="shared" si="19"/>
        <v>0.28526587905655587</v>
      </c>
      <c r="P34" s="79">
        <f t="shared" si="19"/>
        <v>0.2519047037466835</v>
      </c>
      <c r="Q34" s="79">
        <f t="shared" si="19"/>
        <v>0.30243338417757182</v>
      </c>
      <c r="R34" s="79">
        <f t="shared" si="19"/>
        <v>0.29414328628120201</v>
      </c>
      <c r="S34" s="79">
        <f t="shared" si="19"/>
        <v>0.61883995898499511</v>
      </c>
      <c r="T34" s="79">
        <f t="shared" si="19"/>
        <v>0</v>
      </c>
      <c r="U34" s="79">
        <f t="shared" si="19"/>
        <v>0</v>
      </c>
      <c r="V34" s="79">
        <f t="shared" si="18"/>
        <v>0.30832943517714989</v>
      </c>
    </row>
    <row r="35" spans="1:25">
      <c r="A35" s="1" t="s">
        <v>115</v>
      </c>
      <c r="B35">
        <v>0.97540000000000004</v>
      </c>
      <c r="C35">
        <v>0.55179999999999996</v>
      </c>
      <c r="D35">
        <v>0.92</v>
      </c>
      <c r="E35">
        <v>22</v>
      </c>
      <c r="F35">
        <v>3.2</v>
      </c>
      <c r="G35">
        <v>3.2</v>
      </c>
      <c r="J35" s="79">
        <f t="shared" si="19"/>
        <v>0</v>
      </c>
      <c r="K35" s="79">
        <f t="shared" si="19"/>
        <v>0</v>
      </c>
      <c r="L35" s="79">
        <f t="shared" si="19"/>
        <v>0</v>
      </c>
      <c r="M35" s="79">
        <f t="shared" si="19"/>
        <v>0.50233020186563337</v>
      </c>
      <c r="N35" s="79">
        <f t="shared" si="19"/>
        <v>0.24942597392964561</v>
      </c>
      <c r="O35" s="79">
        <f t="shared" si="19"/>
        <v>0.20594947910937855</v>
      </c>
      <c r="P35" s="79">
        <f t="shared" si="19"/>
        <v>0.17607518735337069</v>
      </c>
      <c r="Q35" s="79">
        <f t="shared" si="19"/>
        <v>0.2214256891334907</v>
      </c>
      <c r="R35" s="79">
        <f t="shared" si="19"/>
        <v>0.21394336118618107</v>
      </c>
      <c r="S35" s="79">
        <f t="shared" si="19"/>
        <v>0.52268331525220235</v>
      </c>
      <c r="T35" s="79">
        <f t="shared" si="19"/>
        <v>0</v>
      </c>
      <c r="U35" s="79">
        <f t="shared" si="19"/>
        <v>0</v>
      </c>
      <c r="V35" s="79">
        <f t="shared" si="18"/>
        <v>0.23123411374979561</v>
      </c>
    </row>
    <row r="36" spans="1:25">
      <c r="A36" s="1" t="s">
        <v>116</v>
      </c>
      <c r="B36">
        <v>1.0170999999999999</v>
      </c>
      <c r="C36">
        <v>0.88519999999999999</v>
      </c>
      <c r="D36">
        <v>0.85</v>
      </c>
      <c r="E36">
        <v>13</v>
      </c>
      <c r="F36">
        <v>3.2</v>
      </c>
      <c r="G36">
        <v>3.2</v>
      </c>
      <c r="J36" s="79">
        <f t="shared" si="19"/>
        <v>0</v>
      </c>
      <c r="K36" s="79">
        <f t="shared" si="19"/>
        <v>0</v>
      </c>
      <c r="L36" s="79">
        <f t="shared" si="19"/>
        <v>0</v>
      </c>
      <c r="M36" s="79">
        <f t="shared" si="19"/>
        <v>0.69173748320545525</v>
      </c>
      <c r="N36" s="79">
        <f t="shared" si="19"/>
        <v>0.40407088850258888</v>
      </c>
      <c r="O36" s="79">
        <f t="shared" si="19"/>
        <v>0.34773393450628531</v>
      </c>
      <c r="P36" s="79">
        <f t="shared" si="19"/>
        <v>0.30792153399770961</v>
      </c>
      <c r="Q36" s="79">
        <f t="shared" si="19"/>
        <v>0.3680074757438575</v>
      </c>
      <c r="R36" s="79">
        <f t="shared" si="19"/>
        <v>0.35823587335217522</v>
      </c>
      <c r="S36" s="79">
        <f t="shared" si="19"/>
        <v>0.71171038260827224</v>
      </c>
      <c r="T36" s="79">
        <f t="shared" si="19"/>
        <v>0</v>
      </c>
      <c r="U36" s="79">
        <f t="shared" si="19"/>
        <v>0</v>
      </c>
      <c r="V36" s="79">
        <f t="shared" si="18"/>
        <v>0.37123881406992998</v>
      </c>
    </row>
    <row r="37" spans="1:25">
      <c r="A37" s="1" t="s">
        <v>117</v>
      </c>
      <c r="B37">
        <v>1.0672999999999999</v>
      </c>
      <c r="C37">
        <v>1.0086999999999999</v>
      </c>
      <c r="D37">
        <v>0.95</v>
      </c>
      <c r="E37">
        <v>8.9</v>
      </c>
      <c r="F37">
        <v>9</v>
      </c>
      <c r="G37">
        <v>3.2</v>
      </c>
      <c r="J37" s="79">
        <f t="shared" si="19"/>
        <v>0</v>
      </c>
      <c r="K37" s="79">
        <f t="shared" si="19"/>
        <v>0</v>
      </c>
      <c r="L37" s="79">
        <f t="shared" si="19"/>
        <v>0</v>
      </c>
      <c r="M37" s="79">
        <f t="shared" si="19"/>
        <v>0.73603667873295819</v>
      </c>
      <c r="N37" s="79">
        <f t="shared" si="19"/>
        <v>0.44055500363102651</v>
      </c>
      <c r="O37" s="79">
        <f t="shared" si="19"/>
        <v>0.37990128024451442</v>
      </c>
      <c r="P37" s="79">
        <f t="shared" si="19"/>
        <v>0.33659120810614374</v>
      </c>
      <c r="Q37" s="79">
        <f t="shared" si="19"/>
        <v>0.40181595762528155</v>
      </c>
      <c r="R37" s="79">
        <f t="shared" si="19"/>
        <v>0.39126540057327308</v>
      </c>
      <c r="S37" s="79">
        <f t="shared" si="19"/>
        <v>0.75543568317306831</v>
      </c>
      <c r="T37" s="79">
        <f t="shared" si="19"/>
        <v>0</v>
      </c>
      <c r="U37" s="79">
        <f t="shared" si="19"/>
        <v>0</v>
      </c>
      <c r="V37" s="79">
        <f t="shared" si="18"/>
        <v>0.40319968416704927</v>
      </c>
    </row>
    <row r="38" spans="1:25">
      <c r="A38" s="1" t="s">
        <v>178</v>
      </c>
      <c r="B38">
        <v>1.1028</v>
      </c>
      <c r="C38">
        <v>1.1811</v>
      </c>
      <c r="D38">
        <v>0.74</v>
      </c>
      <c r="E38">
        <v>5.8</v>
      </c>
      <c r="F38">
        <v>9</v>
      </c>
      <c r="G38">
        <v>3.2</v>
      </c>
      <c r="J38" s="79">
        <f t="shared" si="19"/>
        <v>0</v>
      </c>
      <c r="K38" s="79">
        <f t="shared" si="19"/>
        <v>0</v>
      </c>
      <c r="L38" s="79">
        <f t="shared" si="19"/>
        <v>0</v>
      </c>
      <c r="M38" s="79">
        <f t="shared" si="19"/>
        <v>0.79952619050364149</v>
      </c>
      <c r="N38" s="79">
        <f t="shared" si="19"/>
        <v>0.516912664647038</v>
      </c>
      <c r="O38" s="79">
        <f t="shared" si="19"/>
        <v>0.45503389105713954</v>
      </c>
      <c r="P38" s="79">
        <f t="shared" si="19"/>
        <v>0.41020495472586616</v>
      </c>
      <c r="Q38" s="79">
        <f t="shared" si="19"/>
        <v>0.47751624274905635</v>
      </c>
      <c r="R38" s="79">
        <f t="shared" si="19"/>
        <v>0.46670964596561793</v>
      </c>
      <c r="S38" s="79">
        <f t="shared" si="19"/>
        <v>0.81666672418685071</v>
      </c>
      <c r="T38" s="79">
        <f t="shared" si="19"/>
        <v>0</v>
      </c>
      <c r="U38" s="79">
        <f t="shared" si="19"/>
        <v>0</v>
      </c>
      <c r="V38" s="79">
        <f t="shared" si="18"/>
        <v>0.47281798127949254</v>
      </c>
    </row>
    <row r="39" spans="1:25">
      <c r="A39" s="1" t="s">
        <v>119</v>
      </c>
      <c r="B39" s="81">
        <v>0.96889999999999998</v>
      </c>
      <c r="C39">
        <v>0.46850000000000003</v>
      </c>
      <c r="D39">
        <v>0.82</v>
      </c>
      <c r="E39">
        <v>19.3</v>
      </c>
      <c r="F39">
        <v>0</v>
      </c>
      <c r="G39">
        <v>1.8</v>
      </c>
      <c r="J39" s="79">
        <f t="shared" si="19"/>
        <v>0</v>
      </c>
      <c r="K39" s="79">
        <f t="shared" si="19"/>
        <v>0</v>
      </c>
      <c r="L39" s="79">
        <f t="shared" si="19"/>
        <v>0</v>
      </c>
      <c r="M39" s="79">
        <f t="shared" si="19"/>
        <v>0.46845660820710189</v>
      </c>
      <c r="N39" s="79">
        <f t="shared" si="19"/>
        <v>0.246554696625925</v>
      </c>
      <c r="O39" s="79">
        <f t="shared" si="19"/>
        <v>0.20965874071958068</v>
      </c>
      <c r="P39" s="79">
        <f t="shared" si="19"/>
        <v>0.18448345049251014</v>
      </c>
      <c r="Q39" s="79">
        <f t="shared" si="19"/>
        <v>0.22275665930983835</v>
      </c>
      <c r="R39" s="79">
        <f t="shared" si="19"/>
        <v>0.21641931083716548</v>
      </c>
      <c r="S39" s="79">
        <f t="shared" si="19"/>
        <v>0.48697128739473905</v>
      </c>
      <c r="T39" s="79">
        <f t="shared" si="19"/>
        <v>0</v>
      </c>
      <c r="U39" s="79">
        <f t="shared" si="19"/>
        <v>0</v>
      </c>
      <c r="V39" s="79">
        <f t="shared" si="18"/>
        <v>0.23005836511561031</v>
      </c>
    </row>
    <row r="40" spans="1:25">
      <c r="A40" s="1" t="s">
        <v>120</v>
      </c>
      <c r="B40" s="81">
        <v>0.9395</v>
      </c>
      <c r="C40">
        <v>0.33629999999999999</v>
      </c>
      <c r="D40">
        <v>0.95</v>
      </c>
      <c r="E40">
        <v>19.3</v>
      </c>
      <c r="F40">
        <v>0</v>
      </c>
      <c r="G40">
        <v>1.8</v>
      </c>
      <c r="J40" s="79">
        <f t="shared" si="19"/>
        <v>0</v>
      </c>
      <c r="K40" s="79">
        <f t="shared" si="19"/>
        <v>0</v>
      </c>
      <c r="L40" s="79">
        <f t="shared" si="19"/>
        <v>0</v>
      </c>
      <c r="M40" s="79">
        <f t="shared" si="19"/>
        <v>0.38215577656512201</v>
      </c>
      <c r="N40" s="79">
        <f t="shared" si="19"/>
        <v>0.20633270012979943</v>
      </c>
      <c r="O40" s="79">
        <f t="shared" si="19"/>
        <v>0.17862290362915845</v>
      </c>
      <c r="P40" s="79">
        <f t="shared" si="19"/>
        <v>0.15992513825841448</v>
      </c>
      <c r="Q40" s="79">
        <f t="shared" si="19"/>
        <v>0.1884171046645754</v>
      </c>
      <c r="R40" s="79">
        <f t="shared" si="19"/>
        <v>0.1836724721738755</v>
      </c>
      <c r="S40" s="79">
        <f t="shared" si="19"/>
        <v>0.39768089971620479</v>
      </c>
      <c r="T40" s="79">
        <f t="shared" si="19"/>
        <v>0</v>
      </c>
      <c r="U40" s="79">
        <f t="shared" si="19"/>
        <v>0</v>
      </c>
      <c r="V40" s="79">
        <f t="shared" si="18"/>
        <v>0.19387059255203706</v>
      </c>
    </row>
    <row r="41" spans="1:25">
      <c r="A41" s="1" t="s">
        <v>127</v>
      </c>
      <c r="B41" s="81">
        <v>1.0411999999999999</v>
      </c>
      <c r="C41">
        <v>0.92810000000000004</v>
      </c>
      <c r="D41">
        <v>0.78</v>
      </c>
      <c r="E41">
        <v>10</v>
      </c>
      <c r="F41">
        <v>9</v>
      </c>
      <c r="G41">
        <v>1.8</v>
      </c>
      <c r="J41" s="79">
        <f t="shared" si="19"/>
        <v>0</v>
      </c>
      <c r="K41" s="79">
        <f t="shared" si="19"/>
        <v>0</v>
      </c>
      <c r="L41" s="79">
        <f t="shared" si="19"/>
        <v>0</v>
      </c>
      <c r="M41" s="79">
        <f t="shared" si="19"/>
        <v>0.71452744193655315</v>
      </c>
      <c r="N41" s="79">
        <f t="shared" si="19"/>
        <v>0.43021354876531714</v>
      </c>
      <c r="O41" s="79">
        <f t="shared" si="19"/>
        <v>0.37361184281152171</v>
      </c>
      <c r="P41" s="79">
        <f t="shared" si="19"/>
        <v>0.33346787565718561</v>
      </c>
      <c r="Q41" s="79">
        <f t="shared" si="19"/>
        <v>0.39400907499767013</v>
      </c>
      <c r="R41" s="79">
        <f t="shared" si="19"/>
        <v>0.38418175211274008</v>
      </c>
      <c r="S41" s="79">
        <f t="shared" si="19"/>
        <v>0.73388904196062343</v>
      </c>
      <c r="T41" s="79">
        <f t="shared" si="19"/>
        <v>0</v>
      </c>
      <c r="U41" s="79">
        <f t="shared" si="19"/>
        <v>0</v>
      </c>
      <c r="V41" s="79">
        <f t="shared" si="18"/>
        <v>0.39532420654899775</v>
      </c>
    </row>
    <row r="42" spans="1:25">
      <c r="A42" s="1" t="s">
        <v>179</v>
      </c>
      <c r="B42" s="81">
        <v>1.0468</v>
      </c>
      <c r="C42">
        <v>0.90539999999999998</v>
      </c>
      <c r="D42">
        <v>0.76</v>
      </c>
      <c r="E42">
        <v>10.8</v>
      </c>
      <c r="F42">
        <v>9</v>
      </c>
      <c r="G42">
        <v>1.8</v>
      </c>
      <c r="J42" s="79">
        <f t="shared" ref="J42:U42" si="20">IF(+(1-$B42*EXP((-$C42*(J$14-$E42*$D42)/$B$20)))&lt;0,0,+(1-$B42*EXP((-$C42*(J$14-$E42*$D42)/$B$20))))</f>
        <v>0</v>
      </c>
      <c r="K42" s="79">
        <f t="shared" si="20"/>
        <v>0</v>
      </c>
      <c r="L42" s="79">
        <f t="shared" si="20"/>
        <v>0</v>
      </c>
      <c r="M42" s="79">
        <f t="shared" si="20"/>
        <v>0.70222210104371929</v>
      </c>
      <c r="N42" s="79">
        <f t="shared" si="20"/>
        <v>0.41561504357070977</v>
      </c>
      <c r="O42" s="79">
        <f t="shared" si="20"/>
        <v>0.35904958681692167</v>
      </c>
      <c r="P42" s="79">
        <f t="shared" si="20"/>
        <v>0.31900778516235562</v>
      </c>
      <c r="Q42" s="79">
        <f t="shared" si="20"/>
        <v>0.37941872798604914</v>
      </c>
      <c r="R42" s="79">
        <f t="shared" si="20"/>
        <v>0.36960288003875119</v>
      </c>
      <c r="S42" s="79">
        <f t="shared" si="20"/>
        <v>0.72194104971879547</v>
      </c>
      <c r="T42" s="79">
        <f t="shared" si="20"/>
        <v>0</v>
      </c>
      <c r="U42" s="79">
        <f t="shared" si="20"/>
        <v>0</v>
      </c>
      <c r="V42" s="79">
        <f t="shared" si="18"/>
        <v>0.38183593123578108</v>
      </c>
    </row>
    <row r="43" spans="1:25">
      <c r="A43" s="1"/>
      <c r="B43" s="81"/>
      <c r="J43" s="79"/>
      <c r="K43" s="79"/>
      <c r="L43" s="79"/>
      <c r="M43" s="79"/>
      <c r="N43" s="79"/>
      <c r="O43" s="79"/>
      <c r="P43" s="79"/>
      <c r="Q43" s="79"/>
      <c r="R43" s="79"/>
      <c r="S43" s="79"/>
      <c r="T43" s="79"/>
      <c r="U43" s="79"/>
      <c r="V43" s="79"/>
    </row>
    <row r="44" spans="1:25">
      <c r="A44" s="1"/>
      <c r="B44" s="81"/>
      <c r="J44" s="79"/>
      <c r="K44" s="79"/>
      <c r="L44" s="79"/>
      <c r="M44" s="79"/>
      <c r="N44" s="79"/>
      <c r="O44" s="79"/>
      <c r="P44" s="79"/>
      <c r="Q44" s="79"/>
      <c r="R44" s="79"/>
      <c r="S44" s="79"/>
      <c r="T44" s="79"/>
      <c r="U44" s="79"/>
      <c r="V44" s="79"/>
    </row>
    <row r="45" spans="1:25">
      <c r="A45" s="1" t="s">
        <v>261</v>
      </c>
      <c r="B45" s="81"/>
      <c r="J45" s="79"/>
      <c r="K45" s="79"/>
      <c r="L45" s="79"/>
      <c r="M45" s="79"/>
      <c r="N45" s="79"/>
      <c r="O45" s="79"/>
      <c r="R45" s="93" t="s">
        <v>262</v>
      </c>
      <c r="S45" s="93"/>
      <c r="T45" s="93"/>
      <c r="U45" s="93"/>
      <c r="V45" s="93"/>
      <c r="W45" s="93"/>
    </row>
    <row r="46" spans="1:25">
      <c r="A46" s="503" t="s">
        <v>626</v>
      </c>
      <c r="B46" s="81"/>
      <c r="J46" s="79"/>
      <c r="K46" s="79"/>
      <c r="L46" s="79"/>
      <c r="M46" s="79"/>
      <c r="N46" s="79"/>
      <c r="O46" s="79"/>
      <c r="R46" s="93"/>
      <c r="S46" s="93"/>
      <c r="T46" s="93"/>
      <c r="U46" s="93"/>
      <c r="V46" s="93"/>
      <c r="W46" s="93"/>
    </row>
    <row r="47" spans="1:25">
      <c r="A47" s="1" t="s">
        <v>160</v>
      </c>
      <c r="O47" s="79"/>
      <c r="R47" s="93" t="s">
        <v>263</v>
      </c>
      <c r="S47" s="93" t="s">
        <v>264</v>
      </c>
      <c r="T47" t="s">
        <v>269</v>
      </c>
      <c r="U47" s="93" t="s">
        <v>265</v>
      </c>
      <c r="V47" s="93" t="s">
        <v>266</v>
      </c>
      <c r="W47" t="s">
        <v>270</v>
      </c>
      <c r="X47" s="93" t="s">
        <v>267</v>
      </c>
      <c r="Y47" s="93" t="s">
        <v>268</v>
      </c>
    </row>
    <row r="48" spans="1:25">
      <c r="A48" s="1" t="s">
        <v>161</v>
      </c>
      <c r="B48" s="1">
        <v>1</v>
      </c>
      <c r="C48" s="1">
        <v>2</v>
      </c>
      <c r="D48" s="1">
        <v>3</v>
      </c>
      <c r="E48" s="1">
        <v>4</v>
      </c>
      <c r="F48" s="1">
        <v>5</v>
      </c>
      <c r="G48" s="1">
        <v>6</v>
      </c>
      <c r="H48" s="1">
        <v>7</v>
      </c>
      <c r="I48" s="1">
        <v>8</v>
      </c>
      <c r="J48" s="1">
        <v>9</v>
      </c>
      <c r="K48" s="1">
        <v>10</v>
      </c>
      <c r="L48" s="1">
        <v>11</v>
      </c>
      <c r="M48" s="1">
        <v>12</v>
      </c>
      <c r="O48" s="79"/>
      <c r="R48" s="79"/>
      <c r="S48" s="79"/>
      <c r="U48" s="79"/>
      <c r="V48" s="79"/>
      <c r="X48" s="79"/>
      <c r="Y48" s="79"/>
    </row>
    <row r="49" spans="1:25">
      <c r="A49" s="1" t="s">
        <v>162</v>
      </c>
      <c r="B49">
        <v>4.38972916666666</v>
      </c>
      <c r="C49">
        <v>7.8773333333333238</v>
      </c>
      <c r="D49">
        <v>12.969818749999998</v>
      </c>
      <c r="E49">
        <v>65.259500000000003</v>
      </c>
      <c r="F49">
        <v>167.46458333333342</v>
      </c>
      <c r="G49">
        <v>204.19300000000001</v>
      </c>
      <c r="H49">
        <v>235.87331666666657</v>
      </c>
      <c r="I49">
        <v>193.28887499999999</v>
      </c>
      <c r="J49">
        <v>137.54306249999999</v>
      </c>
      <c r="K49">
        <v>55.012599999999985</v>
      </c>
      <c r="L49">
        <v>27.615312499999987</v>
      </c>
      <c r="M49">
        <v>9.0933333333333426</v>
      </c>
      <c r="N49">
        <v>1120.5804645833332</v>
      </c>
      <c r="O49" s="79"/>
      <c r="P49" s="484" t="s">
        <v>626</v>
      </c>
      <c r="Q49" s="245"/>
      <c r="R49" s="495">
        <v>35.6</v>
      </c>
      <c r="S49" s="495">
        <v>27.8</v>
      </c>
      <c r="T49" s="245">
        <f t="shared" ref="T49:T56" si="21">+(R49+S49)/2</f>
        <v>31.700000000000003</v>
      </c>
      <c r="U49" s="245">
        <v>21.6</v>
      </c>
      <c r="V49" s="495">
        <v>16.8</v>
      </c>
      <c r="W49" s="245">
        <f t="shared" ref="W49:W56" si="22">+(V49+U49)/2</f>
        <v>19.200000000000003</v>
      </c>
      <c r="X49" s="495">
        <v>31.7</v>
      </c>
      <c r="Y49" s="495">
        <v>9</v>
      </c>
    </row>
    <row r="50" spans="1:25">
      <c r="A50" s="1"/>
      <c r="O50" s="79"/>
      <c r="P50" s="484" t="s">
        <v>627</v>
      </c>
      <c r="Q50" s="494"/>
      <c r="R50" s="245">
        <v>36.299999999999997</v>
      </c>
      <c r="S50" s="245">
        <v>27.3</v>
      </c>
      <c r="T50" s="245">
        <f t="shared" si="21"/>
        <v>31.799999999999997</v>
      </c>
      <c r="U50" s="245">
        <v>20.9</v>
      </c>
      <c r="V50" s="245">
        <v>16.600000000000001</v>
      </c>
      <c r="W50" s="245">
        <f t="shared" si="22"/>
        <v>18.75</v>
      </c>
      <c r="X50" s="245">
        <v>31.8</v>
      </c>
      <c r="Y50" s="495">
        <v>4.5</v>
      </c>
    </row>
    <row r="51" spans="1:25">
      <c r="A51" s="1" t="s">
        <v>163</v>
      </c>
      <c r="B51" s="1" t="s">
        <v>164</v>
      </c>
      <c r="O51" s="79"/>
      <c r="P51" s="483" t="s">
        <v>628</v>
      </c>
      <c r="Q51" s="494"/>
      <c r="R51" s="245">
        <v>26.9</v>
      </c>
      <c r="S51" s="245">
        <v>20.5</v>
      </c>
      <c r="T51" s="245">
        <f t="shared" si="21"/>
        <v>23.7</v>
      </c>
      <c r="U51" s="245">
        <v>13.2</v>
      </c>
      <c r="V51" s="245">
        <v>7.8</v>
      </c>
      <c r="W51" s="245">
        <f t="shared" si="22"/>
        <v>10.5</v>
      </c>
      <c r="X51" s="245">
        <v>33.200000000000003</v>
      </c>
      <c r="Y51" s="245">
        <v>10</v>
      </c>
    </row>
    <row r="52" spans="1:25">
      <c r="A52" s="1" t="s">
        <v>165</v>
      </c>
      <c r="B52">
        <f t="shared" ref="B52:M52" si="23">+B58*0.0204433</f>
        <v>0</v>
      </c>
      <c r="C52">
        <f t="shared" si="23"/>
        <v>0</v>
      </c>
      <c r="D52">
        <f t="shared" si="23"/>
        <v>0</v>
      </c>
      <c r="E52">
        <f t="shared" si="23"/>
        <v>2.9636947776810301</v>
      </c>
      <c r="F52">
        <f t="shared" si="23"/>
        <v>1.4835693250833979</v>
      </c>
      <c r="G52">
        <f t="shared" si="23"/>
        <v>1.2800871613845186</v>
      </c>
      <c r="H52">
        <f t="shared" si="23"/>
        <v>1.1573835673888542</v>
      </c>
      <c r="I52">
        <f t="shared" si="23"/>
        <v>1.4020516643519025</v>
      </c>
      <c r="J52">
        <f t="shared" si="23"/>
        <v>1.3701672624046124</v>
      </c>
      <c r="K52">
        <f t="shared" si="23"/>
        <v>3.2856989470223943</v>
      </c>
      <c r="L52">
        <f t="shared" si="23"/>
        <v>0</v>
      </c>
      <c r="M52">
        <f t="shared" si="23"/>
        <v>0</v>
      </c>
      <c r="O52" s="79"/>
      <c r="P52" s="484" t="s">
        <v>629</v>
      </c>
      <c r="Q52" s="494"/>
      <c r="R52" s="245">
        <v>44.5</v>
      </c>
      <c r="S52" s="245">
        <v>34.5</v>
      </c>
      <c r="T52" s="245">
        <f t="shared" si="21"/>
        <v>39.5</v>
      </c>
      <c r="U52" s="245">
        <v>27</v>
      </c>
      <c r="V52" s="245">
        <v>20.5</v>
      </c>
      <c r="W52" s="245">
        <f t="shared" si="22"/>
        <v>23.75</v>
      </c>
      <c r="X52" s="245">
        <v>29.3</v>
      </c>
      <c r="Y52" s="293">
        <v>13</v>
      </c>
    </row>
    <row r="53" spans="1:25">
      <c r="A53" s="1" t="s">
        <v>166</v>
      </c>
      <c r="B53">
        <f t="shared" ref="B53:M53" si="24">+B59*0.0204433</f>
        <v>0</v>
      </c>
      <c r="C53">
        <f t="shared" si="24"/>
        <v>0</v>
      </c>
      <c r="D53">
        <f t="shared" si="24"/>
        <v>0</v>
      </c>
      <c r="E53">
        <f t="shared" si="24"/>
        <v>2.1885433296710697</v>
      </c>
      <c r="F53">
        <f t="shared" si="24"/>
        <v>1.1048098532717263</v>
      </c>
      <c r="G53">
        <f t="shared" si="24"/>
        <v>0.95629800655929353</v>
      </c>
      <c r="H53">
        <f t="shared" si="24"/>
        <v>0.85889107554436772</v>
      </c>
      <c r="I53">
        <f t="shared" si="24"/>
        <v>1.008210069122196</v>
      </c>
      <c r="J53">
        <f t="shared" si="24"/>
        <v>0.98298438742229399</v>
      </c>
      <c r="K53">
        <f t="shared" si="24"/>
        <v>2.2986744691502117</v>
      </c>
      <c r="L53">
        <f t="shared" si="24"/>
        <v>0</v>
      </c>
      <c r="M53">
        <f t="shared" si="24"/>
        <v>0</v>
      </c>
      <c r="O53" s="79"/>
      <c r="P53" s="484" t="s">
        <v>630</v>
      </c>
      <c r="Q53" s="494"/>
      <c r="R53" s="245">
        <v>39.200000000000003</v>
      </c>
      <c r="S53" s="245">
        <v>32.1</v>
      </c>
      <c r="T53" s="245">
        <f t="shared" si="21"/>
        <v>35.650000000000006</v>
      </c>
      <c r="U53" s="245">
        <v>25.8</v>
      </c>
      <c r="V53" s="245">
        <v>20.7</v>
      </c>
      <c r="W53" s="245">
        <f t="shared" si="22"/>
        <v>23.25</v>
      </c>
      <c r="X53" s="245">
        <v>29.7</v>
      </c>
      <c r="Y53" s="293">
        <v>15</v>
      </c>
    </row>
    <row r="54" spans="1:25">
      <c r="A54" s="1" t="s">
        <v>167</v>
      </c>
      <c r="B54">
        <f t="shared" ref="B54:M54" si="25">+B60*0.0204433</f>
        <v>0</v>
      </c>
      <c r="C54">
        <f t="shared" si="25"/>
        <v>0</v>
      </c>
      <c r="D54">
        <f t="shared" si="25"/>
        <v>0</v>
      </c>
      <c r="E54">
        <f t="shared" si="25"/>
        <v>2.9855325286744696</v>
      </c>
      <c r="F54">
        <f t="shared" si="25"/>
        <v>1.4945008885313811</v>
      </c>
      <c r="G54">
        <f t="shared" si="25"/>
        <v>1.2895193825736677</v>
      </c>
      <c r="H54">
        <f t="shared" si="25"/>
        <v>1.1659116568327721</v>
      </c>
      <c r="I54">
        <f t="shared" si="25"/>
        <v>1.4123825713523901</v>
      </c>
      <c r="J54">
        <f t="shared" si="25"/>
        <v>1.3802632317065415</v>
      </c>
      <c r="K54">
        <f t="shared" si="25"/>
        <v>3.3099093603162437</v>
      </c>
      <c r="L54">
        <f t="shared" si="25"/>
        <v>0</v>
      </c>
      <c r="M54">
        <f t="shared" si="25"/>
        <v>0</v>
      </c>
      <c r="O54" s="79"/>
      <c r="P54" s="484" t="s">
        <v>631</v>
      </c>
      <c r="Q54" s="494"/>
      <c r="R54" s="245">
        <v>40.6</v>
      </c>
      <c r="S54" s="245">
        <v>33.299999999999997</v>
      </c>
      <c r="T54" s="245">
        <f t="shared" si="21"/>
        <v>36.950000000000003</v>
      </c>
      <c r="U54" s="245">
        <v>24.8</v>
      </c>
      <c r="V54" s="245">
        <v>17.8</v>
      </c>
      <c r="W54" s="245">
        <f t="shared" si="22"/>
        <v>21.3</v>
      </c>
      <c r="X54" s="499">
        <v>31.1</v>
      </c>
      <c r="Y54" s="293">
        <v>15</v>
      </c>
    </row>
    <row r="55" spans="1:25">
      <c r="A55" s="1" t="s">
        <v>168</v>
      </c>
      <c r="B55">
        <f t="shared" ref="B55:M55" si="26">+B61*0.0204433</f>
        <v>0</v>
      </c>
      <c r="C55">
        <f t="shared" si="26"/>
        <v>0</v>
      </c>
      <c r="D55">
        <f t="shared" si="26"/>
        <v>0</v>
      </c>
      <c r="E55">
        <f t="shared" si="26"/>
        <v>2.1571502901061157</v>
      </c>
      <c r="F55">
        <f t="shared" si="26"/>
        <v>1.0889621709502058</v>
      </c>
      <c r="G55">
        <f t="shared" si="26"/>
        <v>0.9425806171209431</v>
      </c>
      <c r="H55">
        <f t="shared" si="26"/>
        <v>0.8465709166738542</v>
      </c>
      <c r="I55">
        <f t="shared" si="26"/>
        <v>0.99374803944216439</v>
      </c>
      <c r="J55">
        <f t="shared" si="26"/>
        <v>0.96888420153713817</v>
      </c>
      <c r="K55">
        <f t="shared" si="26"/>
        <v>2.2657016796337128</v>
      </c>
      <c r="L55">
        <f t="shared" si="26"/>
        <v>0</v>
      </c>
      <c r="M55">
        <f t="shared" si="26"/>
        <v>0</v>
      </c>
      <c r="O55" s="79"/>
      <c r="P55" s="484" t="s">
        <v>632</v>
      </c>
      <c r="Q55" s="494"/>
      <c r="R55">
        <v>42</v>
      </c>
      <c r="S55">
        <v>34.200000000000003</v>
      </c>
      <c r="T55" s="245">
        <f t="shared" si="21"/>
        <v>38.1</v>
      </c>
      <c r="U55">
        <v>27.3</v>
      </c>
      <c r="V55">
        <v>21.4</v>
      </c>
      <c r="W55" s="245">
        <f t="shared" si="22"/>
        <v>24.35</v>
      </c>
      <c r="X55" s="245">
        <v>31</v>
      </c>
      <c r="Y55" s="245">
        <v>20</v>
      </c>
    </row>
    <row r="56" spans="1:25">
      <c r="A56" s="1"/>
      <c r="O56" s="79"/>
      <c r="P56" s="483" t="s">
        <v>655</v>
      </c>
      <c r="Q56" s="494"/>
      <c r="R56" s="500">
        <v>40.5</v>
      </c>
      <c r="S56" s="501">
        <v>31.8</v>
      </c>
      <c r="T56" s="245">
        <f t="shared" si="21"/>
        <v>36.15</v>
      </c>
      <c r="U56" s="501">
        <v>25</v>
      </c>
      <c r="V56" s="501">
        <v>18.899999999999999</v>
      </c>
      <c r="W56" s="245">
        <f t="shared" si="22"/>
        <v>21.95</v>
      </c>
      <c r="X56" s="499">
        <v>30.9</v>
      </c>
      <c r="Y56" s="245">
        <v>11</v>
      </c>
    </row>
    <row r="57" spans="1:25">
      <c r="A57" s="1" t="s">
        <v>163</v>
      </c>
      <c r="B57" s="1" t="s">
        <v>169</v>
      </c>
      <c r="O57" s="79"/>
      <c r="P57" s="79"/>
      <c r="Q57" s="79"/>
      <c r="R57" s="79"/>
      <c r="S57" s="79"/>
      <c r="T57" s="79"/>
      <c r="U57" s="79"/>
      <c r="V57" s="79"/>
    </row>
    <row r="58" spans="1:25">
      <c r="A58" s="1" t="s">
        <v>165</v>
      </c>
      <c r="B58" s="78">
        <v>0</v>
      </c>
      <c r="C58" s="78">
        <v>0</v>
      </c>
      <c r="D58" s="78">
        <v>0</v>
      </c>
      <c r="E58">
        <v>144.97144676647264</v>
      </c>
      <c r="F58">
        <v>72.56995324059217</v>
      </c>
      <c r="G58">
        <v>62.616464141528944</v>
      </c>
      <c r="H58">
        <v>56.614321923997309</v>
      </c>
      <c r="I58">
        <v>68.582453143665774</v>
      </c>
      <c r="J58">
        <v>67.022802698420136</v>
      </c>
      <c r="K58">
        <v>160.72253242002975</v>
      </c>
      <c r="L58" s="78">
        <v>0</v>
      </c>
      <c r="M58" s="78">
        <v>0</v>
      </c>
      <c r="O58" s="79"/>
      <c r="P58" s="79"/>
      <c r="Q58" s="79"/>
      <c r="R58" s="79"/>
      <c r="S58" s="79"/>
      <c r="T58" s="79"/>
      <c r="U58" s="79"/>
      <c r="V58" s="79"/>
    </row>
    <row r="59" spans="1:25">
      <c r="A59" s="1" t="s">
        <v>166</v>
      </c>
      <c r="B59" s="78">
        <v>0</v>
      </c>
      <c r="C59" s="78">
        <v>0</v>
      </c>
      <c r="D59" s="78">
        <v>0</v>
      </c>
      <c r="E59">
        <v>107.0543077522254</v>
      </c>
      <c r="F59">
        <v>54.04263760115667</v>
      </c>
      <c r="G59">
        <v>46.778064527708025</v>
      </c>
      <c r="H59">
        <v>42.013328354246511</v>
      </c>
      <c r="I59">
        <v>49.317383647561591</v>
      </c>
      <c r="J59">
        <v>48.083449708329574</v>
      </c>
      <c r="K59">
        <v>112.44145852921062</v>
      </c>
      <c r="L59" s="78">
        <v>0</v>
      </c>
      <c r="M59" s="78">
        <v>0</v>
      </c>
      <c r="O59" s="79"/>
      <c r="P59" s="79"/>
      <c r="Q59" s="79"/>
      <c r="R59" s="79"/>
      <c r="S59" s="79"/>
      <c r="T59" s="79"/>
      <c r="U59" s="79"/>
      <c r="V59" s="79"/>
    </row>
    <row r="60" spans="1:25">
      <c r="A60" s="1" t="s">
        <v>167</v>
      </c>
      <c r="B60" s="78">
        <v>0</v>
      </c>
      <c r="C60" s="78">
        <v>0</v>
      </c>
      <c r="D60" s="78">
        <v>0</v>
      </c>
      <c r="E60">
        <v>146.03965742685719</v>
      </c>
      <c r="F60">
        <v>73.104679211838643</v>
      </c>
      <c r="G60">
        <v>63.077848614150732</v>
      </c>
      <c r="H60">
        <v>57.031480085542555</v>
      </c>
      <c r="I60">
        <v>69.087797535250672</v>
      </c>
      <c r="J60">
        <v>67.516654928829567</v>
      </c>
      <c r="K60">
        <v>161.90680371154576</v>
      </c>
      <c r="L60" s="78">
        <v>0</v>
      </c>
      <c r="M60" s="78">
        <v>0</v>
      </c>
      <c r="O60" s="79"/>
      <c r="P60" s="79"/>
      <c r="Q60" s="79"/>
      <c r="R60" s="79"/>
      <c r="S60" s="79"/>
      <c r="T60" s="79"/>
      <c r="U60" s="79"/>
      <c r="V60" s="79"/>
    </row>
    <row r="61" spans="1:25">
      <c r="A61" s="1" t="s">
        <v>168</v>
      </c>
      <c r="B61" s="78">
        <v>0</v>
      </c>
      <c r="C61" s="78">
        <v>0</v>
      </c>
      <c r="D61" s="78">
        <v>0</v>
      </c>
      <c r="E61">
        <v>105.51869268200905</v>
      </c>
      <c r="F61">
        <v>53.267435832287624</v>
      </c>
      <c r="G61">
        <v>46.107067700466317</v>
      </c>
      <c r="H61">
        <v>41.410678152443793</v>
      </c>
      <c r="I61">
        <v>48.60996216081378</v>
      </c>
      <c r="J61">
        <v>47.393728093660911</v>
      </c>
      <c r="K61">
        <v>110.82856875522606</v>
      </c>
      <c r="L61" s="78">
        <v>0</v>
      </c>
      <c r="M61" s="78">
        <v>0</v>
      </c>
      <c r="O61" s="79"/>
      <c r="P61" s="79"/>
      <c r="Q61" s="79"/>
      <c r="R61" s="79"/>
      <c r="S61" s="79"/>
      <c r="T61" s="79"/>
      <c r="U61" s="79"/>
      <c r="V61" s="79"/>
    </row>
    <row r="62" spans="1:25">
      <c r="A62" s="1"/>
      <c r="B62" s="81"/>
      <c r="J62" s="79"/>
      <c r="K62" s="79"/>
      <c r="L62" s="79"/>
      <c r="M62" s="79"/>
      <c r="N62" s="79"/>
      <c r="O62" s="79"/>
      <c r="P62" s="79"/>
      <c r="Q62" s="79"/>
      <c r="R62" s="79"/>
      <c r="S62" s="79"/>
      <c r="T62" s="79"/>
      <c r="U62" s="79"/>
      <c r="V62" s="79"/>
    </row>
    <row r="63" spans="1:25">
      <c r="A63" s="1"/>
      <c r="B63" s="81"/>
      <c r="J63" s="79"/>
      <c r="K63" s="79"/>
      <c r="L63" s="79"/>
      <c r="M63" s="79"/>
      <c r="N63" s="79"/>
      <c r="O63" s="79"/>
      <c r="P63" s="79"/>
      <c r="Q63" s="79"/>
      <c r="R63" s="79"/>
      <c r="S63" s="79"/>
      <c r="T63" s="79"/>
      <c r="U63" s="79"/>
      <c r="V63" s="79"/>
    </row>
    <row r="64" spans="1:25">
      <c r="A64" s="1"/>
      <c r="B64" s="81"/>
      <c r="J64" s="79"/>
      <c r="K64" s="79"/>
      <c r="L64" s="79"/>
      <c r="M64" s="79"/>
      <c r="N64" s="79"/>
      <c r="O64" s="79"/>
      <c r="P64" s="79"/>
      <c r="Q64" s="79"/>
      <c r="R64" s="79"/>
      <c r="S64" s="79"/>
      <c r="T64" s="79"/>
      <c r="U64" s="79"/>
      <c r="V64" s="79"/>
    </row>
    <row r="65" spans="1:22">
      <c r="A65" s="1"/>
      <c r="B65" s="81"/>
      <c r="J65" s="79"/>
      <c r="K65" s="79"/>
      <c r="L65" s="79"/>
      <c r="M65" s="79"/>
      <c r="N65" s="79"/>
      <c r="O65" s="79"/>
      <c r="P65" s="79"/>
      <c r="Q65" s="79"/>
      <c r="R65" s="79"/>
      <c r="S65" s="79"/>
      <c r="T65" s="79"/>
      <c r="U65" s="79"/>
      <c r="V65" s="79"/>
    </row>
    <row r="66" spans="1:22">
      <c r="A66" s="1"/>
      <c r="B66" s="81"/>
      <c r="J66" s="79"/>
      <c r="K66" s="79"/>
      <c r="L66" s="79"/>
      <c r="M66" s="79"/>
      <c r="N66" s="79"/>
      <c r="O66" s="79"/>
      <c r="P66" s="79"/>
      <c r="Q66" s="79"/>
      <c r="R66" s="79"/>
      <c r="S66" s="79"/>
      <c r="T66" s="79"/>
      <c r="U66" s="79"/>
      <c r="V66" s="79"/>
    </row>
    <row r="67" spans="1:22">
      <c r="A67" s="293" t="s">
        <v>627</v>
      </c>
      <c r="O67" s="79"/>
      <c r="P67" s="79"/>
      <c r="Q67" s="79"/>
      <c r="R67" s="79"/>
      <c r="S67" s="79"/>
      <c r="T67" s="79"/>
      <c r="U67" s="79"/>
      <c r="V67" s="79"/>
    </row>
    <row r="68" spans="1:22">
      <c r="A68" s="1" t="s">
        <v>160</v>
      </c>
      <c r="O68" s="79"/>
      <c r="P68" s="79"/>
      <c r="Q68" s="79"/>
      <c r="R68" s="79"/>
      <c r="S68" s="79"/>
      <c r="T68" s="79"/>
      <c r="U68" s="79"/>
      <c r="V68" s="79"/>
    </row>
    <row r="69" spans="1:22">
      <c r="A69" s="1" t="s">
        <v>161</v>
      </c>
      <c r="B69" s="1">
        <v>1</v>
      </c>
      <c r="C69" s="1">
        <v>2</v>
      </c>
      <c r="D69" s="1">
        <v>3</v>
      </c>
      <c r="E69" s="1">
        <v>4</v>
      </c>
      <c r="F69" s="1">
        <v>5</v>
      </c>
      <c r="G69" s="1">
        <v>6</v>
      </c>
      <c r="H69" s="1">
        <v>7</v>
      </c>
      <c r="I69" s="1">
        <v>8</v>
      </c>
      <c r="J69" s="1">
        <v>9</v>
      </c>
      <c r="K69" s="1">
        <v>10</v>
      </c>
      <c r="L69" s="1">
        <v>11</v>
      </c>
      <c r="M69" s="1">
        <v>12</v>
      </c>
      <c r="O69" s="79"/>
      <c r="P69" s="79"/>
      <c r="Q69" s="79"/>
      <c r="R69" s="79"/>
      <c r="S69" s="79"/>
      <c r="T69" s="79"/>
      <c r="U69" s="79"/>
      <c r="V69" s="79"/>
    </row>
    <row r="70" spans="1:22">
      <c r="A70" s="1" t="s">
        <v>162</v>
      </c>
      <c r="B70">
        <v>6.0610812499999875</v>
      </c>
      <c r="C70">
        <v>8.3253333333333313</v>
      </c>
      <c r="D70">
        <v>13.287762500000001</v>
      </c>
      <c r="E70">
        <v>65.713187500000004</v>
      </c>
      <c r="F70">
        <v>159.80112499999998</v>
      </c>
      <c r="G70">
        <v>199.09175000000005</v>
      </c>
      <c r="H70">
        <v>217.91062499999998</v>
      </c>
      <c r="I70">
        <v>174.18202500000001</v>
      </c>
      <c r="J70">
        <v>123.34287499999999</v>
      </c>
      <c r="K70">
        <v>45.683149999999998</v>
      </c>
      <c r="L70">
        <v>24.179062500000008</v>
      </c>
      <c r="M70">
        <v>9.8373333333333424</v>
      </c>
      <c r="N70">
        <v>1047.4153104166667</v>
      </c>
      <c r="O70" s="79"/>
      <c r="P70" s="79"/>
      <c r="Q70" s="79"/>
      <c r="R70" s="79"/>
      <c r="S70" s="79"/>
      <c r="T70" s="79"/>
      <c r="U70" s="79"/>
      <c r="V70" s="79"/>
    </row>
    <row r="71" spans="1:22">
      <c r="A71" s="1"/>
      <c r="O71" s="79"/>
      <c r="P71" s="79"/>
      <c r="Q71" s="79"/>
      <c r="R71" s="79"/>
      <c r="S71" s="79"/>
      <c r="T71" s="79"/>
      <c r="U71" s="79"/>
      <c r="V71" s="79"/>
    </row>
    <row r="72" spans="1:22">
      <c r="A72" s="1" t="s">
        <v>163</v>
      </c>
      <c r="B72" s="1" t="s">
        <v>164</v>
      </c>
      <c r="O72" s="79"/>
      <c r="P72" s="79"/>
      <c r="Q72" s="79"/>
      <c r="R72" s="79"/>
      <c r="S72" s="79"/>
      <c r="T72" s="79"/>
      <c r="U72" s="79"/>
      <c r="V72" s="79"/>
    </row>
    <row r="73" spans="1:22">
      <c r="A73" s="1" t="s">
        <v>165</v>
      </c>
      <c r="B73">
        <f t="shared" ref="B73:M73" si="27">+B79*0.0204433</f>
        <v>0</v>
      </c>
      <c r="C73">
        <f t="shared" si="27"/>
        <v>0</v>
      </c>
      <c r="D73">
        <f t="shared" si="27"/>
        <v>0</v>
      </c>
      <c r="E73">
        <f t="shared" si="27"/>
        <v>3.1411316062049286</v>
      </c>
      <c r="F73">
        <f t="shared" si="27"/>
        <v>1.5331058591027238</v>
      </c>
      <c r="G73">
        <f t="shared" si="27"/>
        <v>1.2932906683722962</v>
      </c>
      <c r="H73">
        <f t="shared" si="27"/>
        <v>1.2865817446583974</v>
      </c>
      <c r="I73">
        <f t="shared" si="27"/>
        <v>1.5990442413774371</v>
      </c>
      <c r="J73">
        <f t="shared" si="27"/>
        <v>1.698536075588051</v>
      </c>
      <c r="K73">
        <f t="shared" si="27"/>
        <v>4.1797724350252228</v>
      </c>
      <c r="L73">
        <f t="shared" si="27"/>
        <v>0</v>
      </c>
      <c r="M73">
        <f t="shared" si="27"/>
        <v>0</v>
      </c>
      <c r="O73" s="79"/>
      <c r="P73" s="79"/>
      <c r="Q73" s="79"/>
      <c r="R73" s="79"/>
      <c r="S73" s="79"/>
      <c r="T73" s="79"/>
      <c r="U73" s="79"/>
      <c r="V73" s="79"/>
    </row>
    <row r="74" spans="1:22">
      <c r="A74" s="1" t="s">
        <v>166</v>
      </c>
      <c r="B74">
        <f t="shared" ref="B74:M74" si="28">+B80*0.0204433</f>
        <v>0</v>
      </c>
      <c r="C74">
        <f t="shared" si="28"/>
        <v>0</v>
      </c>
      <c r="D74">
        <f t="shared" si="28"/>
        <v>0</v>
      </c>
      <c r="E74">
        <f t="shared" si="28"/>
        <v>2.2925679683966997</v>
      </c>
      <c r="F74">
        <f t="shared" si="28"/>
        <v>1.1421184220680047</v>
      </c>
      <c r="G74">
        <f t="shared" si="28"/>
        <v>0.96686868764438749</v>
      </c>
      <c r="H74">
        <f t="shared" si="28"/>
        <v>0.95054493396030659</v>
      </c>
      <c r="I74">
        <f t="shared" si="28"/>
        <v>1.1422867155680585</v>
      </c>
      <c r="J74">
        <f t="shared" si="28"/>
        <v>1.1852605504300382</v>
      </c>
      <c r="K74">
        <f t="shared" si="28"/>
        <v>2.8424672123438572</v>
      </c>
      <c r="L74">
        <f t="shared" si="28"/>
        <v>0</v>
      </c>
      <c r="M74">
        <f t="shared" si="28"/>
        <v>0</v>
      </c>
      <c r="O74" s="79"/>
      <c r="P74" s="79"/>
      <c r="Q74" s="79"/>
      <c r="R74" s="79"/>
      <c r="S74" s="79"/>
      <c r="T74" s="79"/>
      <c r="U74" s="79"/>
      <c r="V74" s="79"/>
    </row>
    <row r="75" spans="1:22">
      <c r="A75" s="1" t="s">
        <v>167</v>
      </c>
      <c r="B75">
        <f t="shared" ref="B75:M75" si="29">+B81*0.0204433</f>
        <v>0</v>
      </c>
      <c r="C75">
        <f t="shared" si="29"/>
        <v>0</v>
      </c>
      <c r="D75">
        <f t="shared" si="29"/>
        <v>0</v>
      </c>
      <c r="E75">
        <f t="shared" si="29"/>
        <v>3.1642767864611758</v>
      </c>
      <c r="F75">
        <f t="shared" si="29"/>
        <v>1.5444024285908491</v>
      </c>
      <c r="G75">
        <f t="shared" si="29"/>
        <v>1.3028201785603024</v>
      </c>
      <c r="H75">
        <f t="shared" si="29"/>
        <v>1.2960618206716696</v>
      </c>
      <c r="I75">
        <f t="shared" si="29"/>
        <v>1.6108266726296918</v>
      </c>
      <c r="J75">
        <f t="shared" si="29"/>
        <v>1.711051604566068</v>
      </c>
      <c r="K75">
        <f t="shared" si="29"/>
        <v>4.2105707582306717</v>
      </c>
      <c r="L75">
        <f t="shared" si="29"/>
        <v>0</v>
      </c>
      <c r="M75">
        <f t="shared" si="29"/>
        <v>0</v>
      </c>
      <c r="O75" s="79"/>
      <c r="P75" s="79"/>
      <c r="Q75" s="79"/>
      <c r="R75" s="79"/>
      <c r="S75" s="79"/>
      <c r="T75" s="79"/>
      <c r="U75" s="79"/>
      <c r="V75" s="79"/>
    </row>
    <row r="76" spans="1:22">
      <c r="A76" s="1" t="s">
        <v>168</v>
      </c>
      <c r="B76">
        <f t="shared" ref="B76:M76" si="30">+B82*0.0204433</f>
        <v>0</v>
      </c>
      <c r="C76">
        <f t="shared" si="30"/>
        <v>0</v>
      </c>
      <c r="D76">
        <f t="shared" si="30"/>
        <v>0</v>
      </c>
      <c r="E76">
        <f t="shared" si="30"/>
        <v>2.2596827721287145</v>
      </c>
      <c r="F76">
        <f t="shared" si="30"/>
        <v>1.125735575849816</v>
      </c>
      <c r="G76">
        <f t="shared" si="30"/>
        <v>0.9529996695839148</v>
      </c>
      <c r="H76">
        <f t="shared" si="30"/>
        <v>0.93691006810431854</v>
      </c>
      <c r="I76">
        <f t="shared" si="30"/>
        <v>1.1259014553037625</v>
      </c>
      <c r="J76">
        <f t="shared" si="30"/>
        <v>1.1682588622066565</v>
      </c>
      <c r="K76">
        <f t="shared" si="30"/>
        <v>2.8016941170848262</v>
      </c>
      <c r="L76">
        <f t="shared" si="30"/>
        <v>0</v>
      </c>
      <c r="M76">
        <f t="shared" si="30"/>
        <v>0</v>
      </c>
      <c r="O76" s="79"/>
      <c r="P76" s="79"/>
      <c r="Q76" s="79"/>
      <c r="R76" s="79"/>
      <c r="S76" s="79"/>
      <c r="T76" s="79"/>
      <c r="U76" s="79"/>
      <c r="V76" s="79"/>
    </row>
    <row r="77" spans="1:22">
      <c r="A77" s="1"/>
      <c r="O77" s="79"/>
      <c r="P77" s="79"/>
      <c r="Q77" s="79"/>
      <c r="R77" s="79"/>
      <c r="S77" s="79"/>
      <c r="T77" s="79"/>
      <c r="U77" s="79"/>
      <c r="V77" s="79"/>
    </row>
    <row r="78" spans="1:22">
      <c r="A78" s="1" t="s">
        <v>163</v>
      </c>
      <c r="B78" s="1" t="s">
        <v>169</v>
      </c>
      <c r="O78" s="79"/>
      <c r="P78" s="79"/>
      <c r="Q78" s="79"/>
      <c r="R78" s="79"/>
      <c r="S78" s="79"/>
      <c r="T78" s="79"/>
      <c r="U78" s="79"/>
      <c r="V78" s="79"/>
    </row>
    <row r="79" spans="1:22">
      <c r="A79" s="1" t="s">
        <v>165</v>
      </c>
      <c r="B79" s="78">
        <v>0</v>
      </c>
      <c r="C79" s="78">
        <v>0</v>
      </c>
      <c r="D79" s="78">
        <v>0</v>
      </c>
      <c r="E79">
        <v>153.65090793584835</v>
      </c>
      <c r="F79">
        <v>74.993071524789229</v>
      </c>
      <c r="G79">
        <v>63.262324006999656</v>
      </c>
      <c r="H79">
        <v>62.934151759177688</v>
      </c>
      <c r="I79">
        <v>78.218499037701207</v>
      </c>
      <c r="J79">
        <v>83.085219880745811</v>
      </c>
      <c r="K79">
        <v>204.45683598172619</v>
      </c>
      <c r="L79" s="78">
        <v>0</v>
      </c>
      <c r="M79" s="78">
        <v>0</v>
      </c>
      <c r="O79" s="79"/>
      <c r="P79" s="79"/>
      <c r="Q79" s="79"/>
      <c r="R79" s="79"/>
      <c r="S79" s="79"/>
      <c r="T79" s="79"/>
      <c r="U79" s="79"/>
      <c r="V79" s="79"/>
    </row>
    <row r="80" spans="1:22">
      <c r="A80" s="1" t="s">
        <v>166</v>
      </c>
      <c r="B80" s="78">
        <v>0</v>
      </c>
      <c r="C80" s="78">
        <v>0</v>
      </c>
      <c r="D80" s="78">
        <v>0</v>
      </c>
      <c r="E80">
        <v>112.1427542714092</v>
      </c>
      <c r="F80">
        <v>55.867615407884472</v>
      </c>
      <c r="G80">
        <v>47.295137656072527</v>
      </c>
      <c r="H80">
        <v>46.496648484359497</v>
      </c>
      <c r="I80">
        <v>55.875847615994402</v>
      </c>
      <c r="J80">
        <v>57.977946340856818</v>
      </c>
      <c r="K80">
        <v>139.04150564458072</v>
      </c>
      <c r="L80" s="78">
        <v>0</v>
      </c>
      <c r="M80" s="78">
        <v>0</v>
      </c>
      <c r="O80" s="79"/>
      <c r="P80" s="79"/>
      <c r="Q80" s="79"/>
      <c r="R80" s="79"/>
      <c r="S80" s="79"/>
      <c r="T80" s="79"/>
      <c r="U80" s="79"/>
      <c r="V80" s="79"/>
    </row>
    <row r="81" spans="1:22">
      <c r="A81" s="1" t="s">
        <v>167</v>
      </c>
      <c r="B81" s="78">
        <v>0</v>
      </c>
      <c r="C81" s="78">
        <v>0</v>
      </c>
      <c r="D81" s="78">
        <v>0</v>
      </c>
      <c r="E81">
        <v>154.78307252063883</v>
      </c>
      <c r="F81">
        <v>75.545652051813988</v>
      </c>
      <c r="G81">
        <v>63.72846744705123</v>
      </c>
      <c r="H81">
        <v>63.397877087929523</v>
      </c>
      <c r="I81">
        <v>78.79484587271584</v>
      </c>
      <c r="J81">
        <v>83.697426764077619</v>
      </c>
      <c r="K81">
        <v>205.96336003632837</v>
      </c>
      <c r="L81" s="78">
        <v>0</v>
      </c>
      <c r="M81" s="78">
        <v>0</v>
      </c>
      <c r="O81" s="79"/>
      <c r="P81" s="79"/>
      <c r="Q81" s="79"/>
      <c r="R81" s="79"/>
      <c r="S81" s="79"/>
      <c r="T81" s="79"/>
      <c r="U81" s="79"/>
      <c r="V81" s="79"/>
    </row>
    <row r="82" spans="1:22">
      <c r="A82" s="1" t="s">
        <v>168</v>
      </c>
      <c r="B82" s="78">
        <v>0</v>
      </c>
      <c r="C82" s="78">
        <v>0</v>
      </c>
      <c r="D82" s="78">
        <v>0</v>
      </c>
      <c r="E82">
        <v>110.5341491896472</v>
      </c>
      <c r="F82">
        <v>55.06623567867301</v>
      </c>
      <c r="G82">
        <v>46.616723796251819</v>
      </c>
      <c r="H82">
        <v>45.82968836265762</v>
      </c>
      <c r="I82">
        <v>55.07434980183055</v>
      </c>
      <c r="J82">
        <v>57.146295471213378</v>
      </c>
      <c r="K82">
        <v>137.04705781771173</v>
      </c>
      <c r="L82" s="78">
        <v>0</v>
      </c>
      <c r="M82" s="78">
        <v>0</v>
      </c>
      <c r="O82" s="79"/>
      <c r="P82" s="79"/>
      <c r="Q82" s="79"/>
      <c r="R82" s="79"/>
      <c r="S82" s="79"/>
      <c r="T82" s="79"/>
      <c r="U82" s="79"/>
      <c r="V82" s="79"/>
    </row>
    <row r="83" spans="1:22">
      <c r="A83" s="1"/>
      <c r="B83" s="81"/>
      <c r="J83" s="79"/>
      <c r="K83" s="79"/>
      <c r="L83" s="79"/>
      <c r="M83" s="79"/>
      <c r="N83" s="79"/>
      <c r="O83" s="79"/>
      <c r="P83" s="79"/>
      <c r="Q83" s="79"/>
      <c r="R83" s="79"/>
      <c r="S83" s="79"/>
      <c r="T83" s="79"/>
      <c r="U83" s="79"/>
      <c r="V83" s="79"/>
    </row>
    <row r="84" spans="1:22">
      <c r="A84" s="1"/>
      <c r="B84" s="81"/>
      <c r="J84" s="79"/>
      <c r="K84" s="79"/>
      <c r="L84" s="79"/>
      <c r="M84" s="79"/>
      <c r="N84" s="79"/>
      <c r="O84" s="79"/>
      <c r="P84" s="79"/>
      <c r="Q84" s="79"/>
      <c r="R84" s="79"/>
      <c r="S84" s="79"/>
      <c r="T84" s="79"/>
      <c r="U84" s="79"/>
      <c r="V84" s="79"/>
    </row>
    <row r="85" spans="1:22">
      <c r="A85" s="1"/>
      <c r="B85" s="81"/>
      <c r="J85" s="79"/>
      <c r="K85" s="79"/>
      <c r="L85" s="79"/>
      <c r="M85" s="79"/>
      <c r="N85" s="79"/>
      <c r="O85" s="79"/>
      <c r="P85" s="79"/>
      <c r="Q85" s="79"/>
      <c r="R85" s="79"/>
      <c r="S85" s="79"/>
      <c r="T85" s="79"/>
      <c r="U85" s="79"/>
      <c r="V85" s="79"/>
    </row>
    <row r="86" spans="1:22">
      <c r="A86" s="293" t="s">
        <v>628</v>
      </c>
      <c r="P86" s="79"/>
      <c r="Q86" s="79"/>
      <c r="R86" s="79"/>
      <c r="S86" s="79"/>
      <c r="T86" s="79"/>
      <c r="U86" s="79"/>
      <c r="V86" s="79"/>
    </row>
    <row r="87" spans="1:22">
      <c r="A87" s="1" t="s">
        <v>160</v>
      </c>
      <c r="P87" s="79"/>
      <c r="Q87" s="79"/>
      <c r="R87" s="79"/>
      <c r="S87" s="79"/>
      <c r="T87" s="79"/>
      <c r="U87" s="79"/>
      <c r="V87" s="79"/>
    </row>
    <row r="88" spans="1:22">
      <c r="A88" s="1" t="s">
        <v>161</v>
      </c>
      <c r="B88" s="1">
        <v>1</v>
      </c>
      <c r="C88" s="1">
        <v>2</v>
      </c>
      <c r="D88" s="1">
        <v>3</v>
      </c>
      <c r="E88" s="1">
        <v>4</v>
      </c>
      <c r="F88" s="1">
        <v>5</v>
      </c>
      <c r="G88" s="1">
        <v>6</v>
      </c>
      <c r="H88" s="1">
        <v>7</v>
      </c>
      <c r="I88" s="1">
        <v>8</v>
      </c>
      <c r="J88" s="1">
        <v>9</v>
      </c>
      <c r="K88" s="1">
        <v>10</v>
      </c>
      <c r="L88" s="1">
        <v>11</v>
      </c>
      <c r="M88" s="1">
        <v>12</v>
      </c>
      <c r="P88" s="79"/>
      <c r="Q88" s="79"/>
      <c r="R88" s="79"/>
      <c r="S88" s="79"/>
      <c r="T88" s="79"/>
      <c r="U88" s="79"/>
      <c r="V88" s="79"/>
    </row>
    <row r="89" spans="1:22">
      <c r="A89" s="1" t="s">
        <v>162</v>
      </c>
      <c r="B89" s="78">
        <v>153.71020625000003</v>
      </c>
      <c r="C89" s="78">
        <v>140.17500000000007</v>
      </c>
      <c r="D89" s="78">
        <v>163.83034999999998</v>
      </c>
      <c r="E89" s="78">
        <v>219.87525000000005</v>
      </c>
      <c r="F89" s="78">
        <v>369.29809166666666</v>
      </c>
      <c r="G89" s="78">
        <v>426.02812499999999</v>
      </c>
      <c r="H89" s="78">
        <v>450.14841666666661</v>
      </c>
      <c r="I89" s="78">
        <v>381.94841666666667</v>
      </c>
      <c r="J89" s="78">
        <v>295.26612500000005</v>
      </c>
      <c r="K89" s="78">
        <v>219.87486250000003</v>
      </c>
      <c r="L89" s="78">
        <v>168.66187499999998</v>
      </c>
      <c r="M89" s="78">
        <v>149.51609999999999</v>
      </c>
      <c r="N89" s="78">
        <v>3138.3328187499997</v>
      </c>
      <c r="P89" s="79"/>
      <c r="Q89" s="79"/>
      <c r="R89" s="79"/>
      <c r="S89" s="79"/>
      <c r="T89" s="79"/>
      <c r="U89" s="79"/>
      <c r="V89" s="79"/>
    </row>
    <row r="90" spans="1:22">
      <c r="A90" s="1"/>
      <c r="P90" s="79"/>
      <c r="Q90" s="79"/>
      <c r="R90" s="79"/>
      <c r="S90" s="79"/>
      <c r="T90" s="79"/>
      <c r="U90" s="79"/>
      <c r="V90" s="79"/>
    </row>
    <row r="91" spans="1:22">
      <c r="A91" s="1" t="s">
        <v>163</v>
      </c>
      <c r="B91" s="1" t="s">
        <v>164</v>
      </c>
      <c r="P91" s="79"/>
      <c r="Q91" s="79"/>
      <c r="R91" s="79"/>
      <c r="S91" s="79"/>
      <c r="T91" s="79"/>
      <c r="U91" s="79"/>
      <c r="V91" s="79"/>
    </row>
    <row r="92" spans="1:22">
      <c r="A92" s="1" t="s">
        <v>165</v>
      </c>
      <c r="B92">
        <f t="shared" ref="B92:M92" si="31">+B98*0.0204433</f>
        <v>1.4056054118127321</v>
      </c>
      <c r="C92">
        <f t="shared" si="31"/>
        <v>1.2353904663982036</v>
      </c>
      <c r="D92">
        <f t="shared" si="31"/>
        <v>1.1991598681306972</v>
      </c>
      <c r="E92">
        <f t="shared" si="31"/>
        <v>1.0564196800255294</v>
      </c>
      <c r="F92">
        <f t="shared" si="31"/>
        <v>0.71704517626311981</v>
      </c>
      <c r="G92">
        <f t="shared" si="31"/>
        <v>0.57127532874413733</v>
      </c>
      <c r="H92">
        <f t="shared" si="31"/>
        <v>0.64685573811974761</v>
      </c>
      <c r="I92">
        <f t="shared" si="31"/>
        <v>0.75559837180953071</v>
      </c>
      <c r="J92">
        <f t="shared" si="31"/>
        <v>0.73664450133461434</v>
      </c>
      <c r="K92">
        <f t="shared" si="31"/>
        <v>0.89262906100007122</v>
      </c>
      <c r="L92">
        <f t="shared" si="31"/>
        <v>1.1837403938494364</v>
      </c>
      <c r="M92">
        <f t="shared" si="31"/>
        <v>1.450853969059787</v>
      </c>
      <c r="P92" s="79"/>
      <c r="Q92" s="79"/>
      <c r="R92" s="79"/>
      <c r="S92" s="79"/>
      <c r="T92" s="79"/>
      <c r="U92" s="79"/>
      <c r="V92" s="79"/>
    </row>
    <row r="93" spans="1:22">
      <c r="A93" s="1" t="s">
        <v>166</v>
      </c>
      <c r="B93">
        <f t="shared" ref="B93:M93" si="32">+B99*0.0204433</f>
        <v>0.98914826497931208</v>
      </c>
      <c r="C93">
        <f t="shared" si="32"/>
        <v>0.82277830057221246</v>
      </c>
      <c r="D93">
        <f t="shared" si="32"/>
        <v>0.82228218833313571</v>
      </c>
      <c r="E93">
        <f t="shared" si="32"/>
        <v>0.74529286110369009</v>
      </c>
      <c r="F93">
        <f t="shared" si="32"/>
        <v>0.52461376064217435</v>
      </c>
      <c r="G93">
        <f t="shared" si="32"/>
        <v>0.42735764980097862</v>
      </c>
      <c r="H93">
        <f t="shared" si="32"/>
        <v>0.4719805809656516</v>
      </c>
      <c r="I93">
        <f t="shared" si="32"/>
        <v>0.52898984196907184</v>
      </c>
      <c r="J93">
        <f t="shared" si="32"/>
        <v>0.49883957467129636</v>
      </c>
      <c r="K93">
        <f t="shared" si="32"/>
        <v>0.58650818282134931</v>
      </c>
      <c r="L93">
        <f t="shared" si="32"/>
        <v>0.80860477307939249</v>
      </c>
      <c r="M93">
        <f t="shared" si="32"/>
        <v>1.0228559673773296</v>
      </c>
      <c r="P93" s="79"/>
      <c r="Q93" s="79"/>
      <c r="R93" s="79"/>
      <c r="S93" s="79"/>
      <c r="T93" s="79"/>
      <c r="U93" s="79"/>
      <c r="V93" s="79"/>
    </row>
    <row r="94" spans="1:22">
      <c r="A94" s="1" t="s">
        <v>167</v>
      </c>
      <c r="B94">
        <f t="shared" ref="B94:M94" si="33">+B100*0.0204433</f>
        <v>1.4159625043208259</v>
      </c>
      <c r="C94">
        <f t="shared" si="33"/>
        <v>1.2444933435190324</v>
      </c>
      <c r="D94">
        <f t="shared" si="33"/>
        <v>1.2079957829485024</v>
      </c>
      <c r="E94">
        <f t="shared" si="33"/>
        <v>1.0642038250362438</v>
      </c>
      <c r="F94">
        <f t="shared" si="33"/>
        <v>0.72232866703558496</v>
      </c>
      <c r="G94">
        <f t="shared" si="33"/>
        <v>0.57548472590330468</v>
      </c>
      <c r="H94">
        <f t="shared" si="33"/>
        <v>0.65162204355852471</v>
      </c>
      <c r="I94">
        <f t="shared" si="33"/>
        <v>0.76116593875970617</v>
      </c>
      <c r="J94">
        <f t="shared" si="33"/>
        <v>0.74207240818655373</v>
      </c>
      <c r="K94">
        <f t="shared" si="33"/>
        <v>0.89920632776533493</v>
      </c>
      <c r="L94">
        <f t="shared" si="33"/>
        <v>1.1924626914883272</v>
      </c>
      <c r="M94">
        <f t="shared" si="33"/>
        <v>1.4615444719897015</v>
      </c>
      <c r="P94" s="79"/>
      <c r="Q94" s="79"/>
      <c r="R94" s="79"/>
      <c r="S94" s="79"/>
      <c r="T94" s="79"/>
      <c r="U94" s="79"/>
      <c r="V94" s="79"/>
    </row>
    <row r="95" spans="1:22">
      <c r="A95" s="1" t="s">
        <v>168</v>
      </c>
      <c r="B95">
        <f t="shared" ref="B95:M95" si="34">+B101*0.0204433</f>
        <v>0.9749596628177235</v>
      </c>
      <c r="C95">
        <f t="shared" si="34"/>
        <v>0.81097615281810276</v>
      </c>
      <c r="D95">
        <f t="shared" si="34"/>
        <v>0.81048715694311135</v>
      </c>
      <c r="E95">
        <f t="shared" si="34"/>
        <v>0.73460218481736661</v>
      </c>
      <c r="F95">
        <f t="shared" si="34"/>
        <v>0.51708856325591357</v>
      </c>
      <c r="G95">
        <f t="shared" si="34"/>
        <v>0.42122751957842358</v>
      </c>
      <c r="H95">
        <f t="shared" si="34"/>
        <v>0.46521036771409513</v>
      </c>
      <c r="I95">
        <f t="shared" si="34"/>
        <v>0.52140187292443341</v>
      </c>
      <c r="J95">
        <f t="shared" si="34"/>
        <v>0.49168408896904409</v>
      </c>
      <c r="K95">
        <f t="shared" si="34"/>
        <v>0.57809515560874791</v>
      </c>
      <c r="L95">
        <f t="shared" si="34"/>
        <v>0.79700593412128662</v>
      </c>
      <c r="M95">
        <f t="shared" si="34"/>
        <v>1.0081838530911795</v>
      </c>
      <c r="P95" s="79"/>
      <c r="Q95" s="79"/>
      <c r="R95" s="79"/>
      <c r="S95" s="79"/>
      <c r="T95" s="79"/>
      <c r="U95" s="79"/>
      <c r="V95" s="79"/>
    </row>
    <row r="96" spans="1:22">
      <c r="A96" s="1"/>
      <c r="P96" s="79"/>
      <c r="Q96" s="79"/>
      <c r="R96" s="79"/>
      <c r="S96" s="79"/>
      <c r="T96" s="79"/>
      <c r="U96" s="79"/>
      <c r="V96" s="79"/>
    </row>
    <row r="97" spans="1:22">
      <c r="A97" s="1" t="s">
        <v>163</v>
      </c>
      <c r="B97" s="1" t="s">
        <v>169</v>
      </c>
      <c r="P97" s="79"/>
      <c r="Q97" s="79"/>
      <c r="R97" s="79"/>
      <c r="S97" s="79"/>
      <c r="T97" s="79"/>
      <c r="U97" s="79"/>
      <c r="V97" s="79"/>
    </row>
    <row r="98" spans="1:22">
      <c r="A98" s="1" t="s">
        <v>165</v>
      </c>
      <c r="B98" s="78">
        <v>68.756287478671837</v>
      </c>
      <c r="C98" s="78">
        <v>60.430090366927232</v>
      </c>
      <c r="D98" s="78">
        <v>58.65784233126243</v>
      </c>
      <c r="E98">
        <v>51.675594450285878</v>
      </c>
      <c r="F98">
        <v>35.074825310156371</v>
      </c>
      <c r="G98">
        <v>27.944379270672414</v>
      </c>
      <c r="H98">
        <v>31.641454076384321</v>
      </c>
      <c r="I98">
        <v>36.960685007289953</v>
      </c>
      <c r="J98">
        <v>36.033541616794466</v>
      </c>
      <c r="K98">
        <v>43.663648285749915</v>
      </c>
      <c r="L98" s="78">
        <v>57.903586693412336</v>
      </c>
      <c r="M98" s="78">
        <v>70.969656027147622</v>
      </c>
      <c r="P98" s="79"/>
      <c r="Q98" s="79"/>
      <c r="R98" s="79"/>
      <c r="S98" s="79"/>
      <c r="T98" s="79"/>
      <c r="U98" s="79"/>
      <c r="V98" s="79"/>
    </row>
    <row r="99" spans="1:22">
      <c r="A99" s="1" t="s">
        <v>166</v>
      </c>
      <c r="B99" s="78">
        <v>48.384960597325872</v>
      </c>
      <c r="C99" s="78">
        <v>40.246843737176114</v>
      </c>
      <c r="D99" s="78">
        <v>40.222576019191408</v>
      </c>
      <c r="E99">
        <v>36.456582895309957</v>
      </c>
      <c r="F99">
        <v>25.661892191680128</v>
      </c>
      <c r="G99">
        <v>20.904533504912543</v>
      </c>
      <c r="H99">
        <v>23.087299064517548</v>
      </c>
      <c r="I99">
        <v>25.875951630562177</v>
      </c>
      <c r="J99">
        <v>24.401127737268265</v>
      </c>
      <c r="K99">
        <v>28.689506235360692</v>
      </c>
      <c r="L99" s="78">
        <v>39.553534560437527</v>
      </c>
      <c r="M99" s="78">
        <v>50.033799209390345</v>
      </c>
      <c r="P99" s="79"/>
      <c r="Q99" s="79"/>
      <c r="R99" s="79"/>
      <c r="S99" s="79"/>
      <c r="T99" s="79"/>
      <c r="U99" s="79"/>
      <c r="V99" s="79"/>
    </row>
    <row r="100" spans="1:22">
      <c r="A100" s="1" t="s">
        <v>167</v>
      </c>
      <c r="B100" s="78">
        <v>69.262912754830481</v>
      </c>
      <c r="C100" s="78">
        <v>60.875364716999322</v>
      </c>
      <c r="D100" s="78">
        <v>59.090058011598046</v>
      </c>
      <c r="E100">
        <v>52.056361988340612</v>
      </c>
      <c r="F100">
        <v>35.333271391389104</v>
      </c>
      <c r="G100">
        <v>28.150285223193158</v>
      </c>
      <c r="H100">
        <v>31.874601632736624</v>
      </c>
      <c r="I100">
        <v>37.23302689681735</v>
      </c>
      <c r="J100">
        <v>36.299051923444537</v>
      </c>
      <c r="K100">
        <v>43.985380431013333</v>
      </c>
      <c r="L100" s="78">
        <v>58.330244700626956</v>
      </c>
      <c r="M100" s="78">
        <v>71.492590334716084</v>
      </c>
      <c r="P100" s="79"/>
      <c r="Q100" s="79"/>
      <c r="R100" s="79"/>
      <c r="S100" s="79"/>
      <c r="T100" s="79"/>
      <c r="U100" s="79"/>
      <c r="V100" s="79"/>
    </row>
    <row r="101" spans="1:22">
      <c r="A101" s="1" t="s">
        <v>168</v>
      </c>
      <c r="B101" s="78">
        <v>47.690914031380622</v>
      </c>
      <c r="C101" s="78">
        <v>39.669532454060878</v>
      </c>
      <c r="D101" s="78">
        <v>39.645612838588256</v>
      </c>
      <c r="E101">
        <v>35.933640107877231</v>
      </c>
      <c r="F101">
        <v>25.293791279094549</v>
      </c>
      <c r="G101">
        <v>20.604673393161747</v>
      </c>
      <c r="H101">
        <v>22.756128791051108</v>
      </c>
      <c r="I101">
        <v>25.504780193238535</v>
      </c>
      <c r="J101">
        <v>24.051111560709085</v>
      </c>
      <c r="K101">
        <v>28.277976432804287</v>
      </c>
      <c r="L101" s="78">
        <v>38.986168286005025</v>
      </c>
      <c r="M101" s="78">
        <v>49.316101269911393</v>
      </c>
      <c r="P101" s="79"/>
      <c r="Q101" s="79"/>
      <c r="R101" s="79"/>
      <c r="S101" s="79"/>
      <c r="T101" s="79"/>
      <c r="U101" s="79"/>
      <c r="V101" s="79"/>
    </row>
    <row r="102" spans="1:22">
      <c r="A102" s="1"/>
      <c r="B102" s="81"/>
      <c r="J102" s="79"/>
      <c r="K102" s="79"/>
      <c r="L102" s="79"/>
      <c r="M102" s="79"/>
      <c r="N102" s="79"/>
      <c r="O102" s="79"/>
      <c r="P102" s="79"/>
      <c r="Q102" s="79"/>
      <c r="R102" s="79"/>
      <c r="S102" s="79"/>
      <c r="T102" s="79"/>
      <c r="U102" s="79"/>
      <c r="V102" s="79"/>
    </row>
    <row r="103" spans="1:22">
      <c r="A103" s="1"/>
      <c r="B103" s="81"/>
      <c r="J103" s="79"/>
      <c r="K103" s="79"/>
      <c r="L103" s="79"/>
      <c r="M103" s="79"/>
      <c r="N103" s="79"/>
      <c r="O103" s="79"/>
      <c r="P103" s="79"/>
      <c r="Q103" s="79"/>
      <c r="R103" s="79"/>
      <c r="S103" s="79"/>
      <c r="T103" s="79"/>
      <c r="U103" s="79"/>
      <c r="V103" s="79"/>
    </row>
    <row r="104" spans="1:22">
      <c r="A104" s="293" t="s">
        <v>629</v>
      </c>
      <c r="P104" s="79"/>
      <c r="Q104" s="79"/>
      <c r="R104" s="79"/>
      <c r="S104" s="79"/>
      <c r="T104" s="79"/>
      <c r="U104" s="79"/>
      <c r="V104" s="79"/>
    </row>
    <row r="105" spans="1:22">
      <c r="A105" s="1" t="s">
        <v>160</v>
      </c>
      <c r="P105" s="79"/>
      <c r="Q105" s="79"/>
      <c r="R105" s="79"/>
      <c r="S105" s="79"/>
      <c r="T105" s="79"/>
      <c r="U105" s="79"/>
      <c r="V105" s="79"/>
    </row>
    <row r="106" spans="1:22">
      <c r="A106" s="1" t="s">
        <v>161</v>
      </c>
      <c r="B106" s="1">
        <v>1</v>
      </c>
      <c r="C106" s="1">
        <v>2</v>
      </c>
      <c r="D106" s="1">
        <v>3</v>
      </c>
      <c r="E106" s="1">
        <v>4</v>
      </c>
      <c r="F106" s="1">
        <v>5</v>
      </c>
      <c r="G106" s="1">
        <v>6</v>
      </c>
      <c r="H106" s="1">
        <v>7</v>
      </c>
      <c r="I106" s="1">
        <v>8</v>
      </c>
      <c r="J106" s="1">
        <v>9</v>
      </c>
      <c r="K106" s="1">
        <v>10</v>
      </c>
      <c r="L106" s="1">
        <v>11</v>
      </c>
      <c r="M106" s="1">
        <v>12</v>
      </c>
      <c r="P106" s="79"/>
      <c r="Q106" s="79"/>
      <c r="R106" s="79"/>
      <c r="S106" s="79"/>
      <c r="T106" s="79"/>
      <c r="U106" s="79"/>
      <c r="V106" s="79"/>
    </row>
    <row r="107" spans="1:22">
      <c r="A107" s="1" t="s">
        <v>162</v>
      </c>
      <c r="B107" s="92">
        <v>0</v>
      </c>
      <c r="C107" s="92">
        <v>0</v>
      </c>
      <c r="D107" s="92">
        <v>0</v>
      </c>
      <c r="E107" s="92">
        <v>26.99281250000001</v>
      </c>
      <c r="F107" s="92">
        <v>121.04744374999999</v>
      </c>
      <c r="G107" s="92">
        <v>169.27850000000004</v>
      </c>
      <c r="H107" s="92">
        <v>198.54492500000003</v>
      </c>
      <c r="I107" s="92">
        <v>148.66831458333334</v>
      </c>
      <c r="J107" s="92">
        <v>85.222624999999994</v>
      </c>
      <c r="K107" s="92">
        <v>10.046131249999991</v>
      </c>
      <c r="L107" s="92">
        <v>0</v>
      </c>
      <c r="M107" s="92">
        <v>0</v>
      </c>
      <c r="N107" s="78">
        <f>SUM(B107:M107)</f>
        <v>759.80075208333346</v>
      </c>
      <c r="P107" s="79"/>
      <c r="Q107" s="79"/>
      <c r="R107" s="79"/>
      <c r="S107" s="79"/>
      <c r="T107" s="79"/>
      <c r="U107" s="79"/>
      <c r="V107" s="79"/>
    </row>
    <row r="108" spans="1:22">
      <c r="A108" s="1"/>
      <c r="P108" s="79"/>
      <c r="Q108" s="79"/>
      <c r="R108" s="79"/>
      <c r="S108" s="79"/>
      <c r="T108" s="79"/>
      <c r="U108" s="79"/>
      <c r="V108" s="79"/>
    </row>
    <row r="109" spans="1:22">
      <c r="A109" s="1" t="s">
        <v>163</v>
      </c>
      <c r="B109" s="1" t="s">
        <v>164</v>
      </c>
      <c r="P109" s="79"/>
      <c r="Q109" s="79"/>
      <c r="R109" s="79"/>
      <c r="S109" s="79"/>
      <c r="T109" s="79"/>
      <c r="U109" s="79"/>
      <c r="V109" s="79"/>
    </row>
    <row r="110" spans="1:22">
      <c r="A110" s="1" t="s">
        <v>165</v>
      </c>
      <c r="B110">
        <f t="shared" ref="B110:M110" si="35">+B116*0.0204433</f>
        <v>0</v>
      </c>
      <c r="C110">
        <f t="shared" si="35"/>
        <v>0</v>
      </c>
      <c r="D110">
        <f t="shared" si="35"/>
        <v>0</v>
      </c>
      <c r="E110">
        <f t="shared" si="35"/>
        <v>0</v>
      </c>
      <c r="F110">
        <f t="shared" si="35"/>
        <v>2.4071901801478521</v>
      </c>
      <c r="G110">
        <f t="shared" si="35"/>
        <v>1.5880322404523819</v>
      </c>
      <c r="H110">
        <f t="shared" si="35"/>
        <v>1.356763146534061</v>
      </c>
      <c r="I110">
        <f t="shared" si="35"/>
        <v>1.5892059203287148</v>
      </c>
      <c r="J110">
        <f t="shared" si="35"/>
        <v>2.4819093227806488</v>
      </c>
      <c r="K110">
        <f t="shared" si="35"/>
        <v>0</v>
      </c>
      <c r="L110">
        <f t="shared" si="35"/>
        <v>0</v>
      </c>
      <c r="M110">
        <f t="shared" si="35"/>
        <v>0</v>
      </c>
      <c r="P110" s="79"/>
      <c r="Q110" s="79"/>
      <c r="R110" s="79"/>
      <c r="S110" s="79"/>
      <c r="T110" s="79"/>
      <c r="U110" s="79"/>
      <c r="V110" s="79"/>
    </row>
    <row r="111" spans="1:22">
      <c r="A111" s="1" t="s">
        <v>166</v>
      </c>
      <c r="B111">
        <f t="shared" ref="B111:M111" si="36">+B117*0.0204433</f>
        <v>0</v>
      </c>
      <c r="C111">
        <f t="shared" si="36"/>
        <v>0</v>
      </c>
      <c r="D111">
        <f t="shared" si="36"/>
        <v>0</v>
      </c>
      <c r="E111">
        <f t="shared" si="36"/>
        <v>0</v>
      </c>
      <c r="F111">
        <f t="shared" si="36"/>
        <v>1.7763206539933563</v>
      </c>
      <c r="G111">
        <f t="shared" si="36"/>
        <v>1.190646783250231</v>
      </c>
      <c r="H111">
        <f t="shared" si="36"/>
        <v>1.0167321058349661</v>
      </c>
      <c r="I111">
        <f t="shared" si="36"/>
        <v>1.1816839169393418</v>
      </c>
      <c r="J111">
        <f t="shared" si="36"/>
        <v>1.7714687332682415</v>
      </c>
      <c r="K111">
        <f t="shared" si="36"/>
        <v>0</v>
      </c>
      <c r="L111">
        <f t="shared" si="36"/>
        <v>0</v>
      </c>
      <c r="M111">
        <f t="shared" si="36"/>
        <v>0</v>
      </c>
      <c r="P111" s="79"/>
      <c r="Q111" s="79"/>
      <c r="R111" s="79"/>
      <c r="S111" s="79"/>
      <c r="T111" s="79"/>
      <c r="U111" s="79"/>
      <c r="V111" s="79"/>
    </row>
    <row r="112" spans="1:22">
      <c r="A112" s="1" t="s">
        <v>167</v>
      </c>
      <c r="B112">
        <f t="shared" ref="B112:M112" si="37">+B118*0.0204433</f>
        <v>0</v>
      </c>
      <c r="C112">
        <f t="shared" si="37"/>
        <v>0</v>
      </c>
      <c r="D112">
        <f t="shared" si="37"/>
        <v>0</v>
      </c>
      <c r="E112">
        <f t="shared" si="37"/>
        <v>0</v>
      </c>
      <c r="F112">
        <f t="shared" si="37"/>
        <v>2.4249273709489416</v>
      </c>
      <c r="G112">
        <f t="shared" si="37"/>
        <v>1.5997335306451892</v>
      </c>
      <c r="H112">
        <f t="shared" si="37"/>
        <v>1.3667603486664175</v>
      </c>
      <c r="I112">
        <f t="shared" si="37"/>
        <v>1.6009158586890317</v>
      </c>
      <c r="J112">
        <f t="shared" si="37"/>
        <v>2.5001970756853487</v>
      </c>
      <c r="K112">
        <f t="shared" si="37"/>
        <v>0</v>
      </c>
      <c r="L112">
        <f t="shared" si="37"/>
        <v>0</v>
      </c>
      <c r="M112">
        <f t="shared" si="37"/>
        <v>0</v>
      </c>
    </row>
    <row r="113" spans="1:14">
      <c r="A113" s="1" t="s">
        <v>168</v>
      </c>
      <c r="B113">
        <f t="shared" ref="B113:M113" si="38">+B119*0.0204433</f>
        <v>0</v>
      </c>
      <c r="C113">
        <f t="shared" si="38"/>
        <v>0</v>
      </c>
      <c r="D113">
        <f t="shared" si="38"/>
        <v>0</v>
      </c>
      <c r="E113">
        <f t="shared" si="38"/>
        <v>0</v>
      </c>
      <c r="F113">
        <f t="shared" si="38"/>
        <v>1.7508406446123039</v>
      </c>
      <c r="G113">
        <f t="shared" si="38"/>
        <v>1.1735678334904942</v>
      </c>
      <c r="H113">
        <f t="shared" si="38"/>
        <v>1.0021478338250385</v>
      </c>
      <c r="I113">
        <f t="shared" si="38"/>
        <v>1.164733532884884</v>
      </c>
      <c r="J113">
        <f t="shared" si="38"/>
        <v>1.746058321110705</v>
      </c>
      <c r="K113">
        <f t="shared" si="38"/>
        <v>0</v>
      </c>
      <c r="L113">
        <f t="shared" si="38"/>
        <v>0</v>
      </c>
      <c r="M113">
        <f t="shared" si="38"/>
        <v>0</v>
      </c>
    </row>
    <row r="114" spans="1:14">
      <c r="A114" s="1"/>
    </row>
    <row r="115" spans="1:14">
      <c r="A115" s="1" t="s">
        <v>163</v>
      </c>
      <c r="B115" s="1" t="s">
        <v>169</v>
      </c>
    </row>
    <row r="116" spans="1:14">
      <c r="A116" s="1" t="s">
        <v>165</v>
      </c>
      <c r="B116" s="78">
        <v>0</v>
      </c>
      <c r="C116" s="78">
        <v>0</v>
      </c>
      <c r="D116" s="78">
        <v>0</v>
      </c>
      <c r="E116" s="78">
        <v>0</v>
      </c>
      <c r="F116">
        <v>117.74958935924494</v>
      </c>
      <c r="G116">
        <v>77.679838404385876</v>
      </c>
      <c r="H116">
        <v>66.367129892632846</v>
      </c>
      <c r="I116">
        <v>77.737249873000678</v>
      </c>
      <c r="J116">
        <v>121.40453462898107</v>
      </c>
      <c r="K116" s="78">
        <v>0</v>
      </c>
      <c r="L116" s="78">
        <v>0</v>
      </c>
      <c r="M116" s="78">
        <v>0</v>
      </c>
    </row>
    <row r="117" spans="1:14">
      <c r="A117" s="1" t="s">
        <v>166</v>
      </c>
      <c r="B117" s="78">
        <v>0</v>
      </c>
      <c r="C117" s="78">
        <v>0</v>
      </c>
      <c r="D117" s="78">
        <v>0</v>
      </c>
      <c r="E117" s="78">
        <v>0</v>
      </c>
      <c r="F117">
        <v>86.890113337541209</v>
      </c>
      <c r="G117">
        <v>58.241418129667466</v>
      </c>
      <c r="H117">
        <v>49.734245735031337</v>
      </c>
      <c r="I117">
        <v>57.802992517809834</v>
      </c>
      <c r="J117">
        <v>86.652777842532345</v>
      </c>
      <c r="K117" s="78">
        <v>0</v>
      </c>
      <c r="L117" s="78">
        <v>0</v>
      </c>
      <c r="M117" s="78">
        <v>0</v>
      </c>
    </row>
    <row r="118" spans="1:14">
      <c r="A118" s="1" t="s">
        <v>167</v>
      </c>
      <c r="B118" s="78">
        <v>0</v>
      </c>
      <c r="C118" s="78">
        <v>0</v>
      </c>
      <c r="D118" s="78">
        <v>0</v>
      </c>
      <c r="E118" s="78">
        <v>0</v>
      </c>
      <c r="F118">
        <v>118.61721791241833</v>
      </c>
      <c r="G118">
        <v>78.252216161049788</v>
      </c>
      <c r="H118">
        <v>66.856150849736466</v>
      </c>
      <c r="I118">
        <v>78.310050661538583</v>
      </c>
      <c r="J118">
        <v>122.29909435782621</v>
      </c>
      <c r="K118" s="78">
        <v>0</v>
      </c>
      <c r="L118" s="78">
        <v>0</v>
      </c>
      <c r="M118" s="78">
        <v>0</v>
      </c>
    </row>
    <row r="119" spans="1:14">
      <c r="A119" s="1" t="s">
        <v>168</v>
      </c>
      <c r="B119" s="78">
        <v>0</v>
      </c>
      <c r="C119" s="78">
        <v>0</v>
      </c>
      <c r="D119" s="78">
        <v>0</v>
      </c>
      <c r="E119" s="78">
        <v>0</v>
      </c>
      <c r="F119">
        <v>85.64373876097811</v>
      </c>
      <c r="G119">
        <v>57.405987951577977</v>
      </c>
      <c r="H119">
        <v>49.020844669159985</v>
      </c>
      <c r="I119">
        <v>56.973851231693708</v>
      </c>
      <c r="J119">
        <v>85.409807668561584</v>
      </c>
      <c r="K119" s="78">
        <v>0</v>
      </c>
      <c r="L119" s="78">
        <v>0</v>
      </c>
      <c r="M119" s="78">
        <v>0</v>
      </c>
    </row>
    <row r="122" spans="1:14">
      <c r="A122" s="493" t="s">
        <v>630</v>
      </c>
    </row>
    <row r="123" spans="1:14">
      <c r="A123" s="1" t="s">
        <v>160</v>
      </c>
    </row>
    <row r="124" spans="1:14">
      <c r="A124" s="1" t="s">
        <v>161</v>
      </c>
      <c r="B124" s="1">
        <v>1</v>
      </c>
      <c r="C124" s="1">
        <v>2</v>
      </c>
      <c r="D124" s="1">
        <v>3</v>
      </c>
      <c r="E124" s="1">
        <v>4</v>
      </c>
      <c r="F124" s="1">
        <v>5</v>
      </c>
      <c r="G124" s="1">
        <v>6</v>
      </c>
      <c r="H124" s="1">
        <v>7</v>
      </c>
      <c r="I124" s="1">
        <v>8</v>
      </c>
      <c r="J124" s="1">
        <v>9</v>
      </c>
      <c r="K124" s="1">
        <v>10</v>
      </c>
      <c r="L124" s="1">
        <v>11</v>
      </c>
      <c r="M124" s="1">
        <v>12</v>
      </c>
    </row>
    <row r="125" spans="1:14">
      <c r="A125" s="1" t="s">
        <v>162</v>
      </c>
      <c r="B125" s="92">
        <v>0</v>
      </c>
      <c r="C125" s="92">
        <v>0</v>
      </c>
      <c r="D125" s="92">
        <v>0</v>
      </c>
      <c r="E125" s="92">
        <v>3.6884999999999968</v>
      </c>
      <c r="F125" s="92">
        <v>62.153320833333318</v>
      </c>
      <c r="G125" s="92">
        <v>87.201124999999976</v>
      </c>
      <c r="H125" s="92">
        <v>108.95130833333334</v>
      </c>
      <c r="I125" s="92">
        <v>78.438008333333315</v>
      </c>
      <c r="J125" s="92">
        <v>35.8440625</v>
      </c>
      <c r="K125" s="92">
        <v>0</v>
      </c>
      <c r="L125" s="92">
        <v>0</v>
      </c>
      <c r="M125" s="92">
        <v>0</v>
      </c>
      <c r="N125" s="78">
        <v>376.27632499999999</v>
      </c>
    </row>
    <row r="126" spans="1:14">
      <c r="A126" s="1"/>
    </row>
    <row r="127" spans="1:14">
      <c r="A127" s="1" t="s">
        <v>163</v>
      </c>
      <c r="B127" s="1" t="s">
        <v>164</v>
      </c>
    </row>
    <row r="128" spans="1:14">
      <c r="A128" s="1" t="s">
        <v>165</v>
      </c>
      <c r="B128">
        <f t="shared" ref="B128:M128" si="39">+B134*0.0204433</f>
        <v>0</v>
      </c>
      <c r="C128">
        <f t="shared" si="39"/>
        <v>0</v>
      </c>
      <c r="D128">
        <f t="shared" si="39"/>
        <v>0</v>
      </c>
      <c r="E128">
        <f t="shared" si="39"/>
        <v>0</v>
      </c>
      <c r="F128">
        <f t="shared" si="39"/>
        <v>3.4921294639352887</v>
      </c>
      <c r="G128">
        <f t="shared" si="39"/>
        <v>2.3298012898633473</v>
      </c>
      <c r="H128">
        <f t="shared" si="39"/>
        <v>2.3035347389510901</v>
      </c>
      <c r="I128">
        <f t="shared" si="39"/>
        <v>3.3284593637715667</v>
      </c>
      <c r="J128">
        <f t="shared" si="39"/>
        <v>5.4293331683382595</v>
      </c>
      <c r="K128">
        <f t="shared" si="39"/>
        <v>0</v>
      </c>
      <c r="L128">
        <f t="shared" si="39"/>
        <v>0</v>
      </c>
      <c r="M128">
        <f t="shared" si="39"/>
        <v>0</v>
      </c>
    </row>
    <row r="129" spans="1:14">
      <c r="A129" s="1" t="s">
        <v>166</v>
      </c>
      <c r="B129">
        <f t="shared" ref="B129:M129" si="40">+B135*0.0204433</f>
        <v>0</v>
      </c>
      <c r="C129">
        <f t="shared" si="40"/>
        <v>0</v>
      </c>
      <c r="D129">
        <f t="shared" si="40"/>
        <v>0</v>
      </c>
      <c r="E129">
        <f t="shared" si="40"/>
        <v>0</v>
      </c>
      <c r="F129">
        <f t="shared" si="40"/>
        <v>2.6229992455805724</v>
      </c>
      <c r="G129">
        <f t="shared" si="40"/>
        <v>1.7783262531041564</v>
      </c>
      <c r="H129">
        <f t="shared" si="40"/>
        <v>1.7148917564638066</v>
      </c>
      <c r="I129">
        <f t="shared" si="40"/>
        <v>2.378181600781295</v>
      </c>
      <c r="J129">
        <f t="shared" si="40"/>
        <v>3.8133371622165817</v>
      </c>
      <c r="K129">
        <f t="shared" si="40"/>
        <v>0</v>
      </c>
      <c r="L129">
        <f t="shared" si="40"/>
        <v>0</v>
      </c>
      <c r="M129">
        <f t="shared" si="40"/>
        <v>0</v>
      </c>
    </row>
    <row r="130" spans="1:14">
      <c r="A130" s="1" t="s">
        <v>167</v>
      </c>
      <c r="B130">
        <f t="shared" ref="B130:M130" si="41">+B136*0.0204433</f>
        <v>0</v>
      </c>
      <c r="C130">
        <f t="shared" si="41"/>
        <v>0</v>
      </c>
      <c r="D130">
        <f t="shared" si="41"/>
        <v>0</v>
      </c>
      <c r="E130">
        <f t="shared" si="41"/>
        <v>0</v>
      </c>
      <c r="F130">
        <f t="shared" si="41"/>
        <v>3.5178609441958639</v>
      </c>
      <c r="G130">
        <f t="shared" si="41"/>
        <v>2.3469682467360244</v>
      </c>
      <c r="H130">
        <f t="shared" si="41"/>
        <v>2.3205081528170455</v>
      </c>
      <c r="I130">
        <f t="shared" si="41"/>
        <v>3.3529848538204101</v>
      </c>
      <c r="J130">
        <f t="shared" si="41"/>
        <v>5.4693387811575933</v>
      </c>
      <c r="K130">
        <f t="shared" si="41"/>
        <v>0</v>
      </c>
      <c r="L130">
        <f t="shared" si="41"/>
        <v>0</v>
      </c>
      <c r="M130">
        <f t="shared" si="41"/>
        <v>0</v>
      </c>
    </row>
    <row r="131" spans="1:14">
      <c r="A131" s="1" t="s">
        <v>168</v>
      </c>
      <c r="B131">
        <f t="shared" ref="B131:M131" si="42">+B137*0.0204433</f>
        <v>0</v>
      </c>
      <c r="C131">
        <f t="shared" si="42"/>
        <v>0</v>
      </c>
      <c r="D131">
        <f t="shared" si="42"/>
        <v>0</v>
      </c>
      <c r="E131">
        <f t="shared" si="42"/>
        <v>0</v>
      </c>
      <c r="F131">
        <f t="shared" si="42"/>
        <v>2.5853742564021629</v>
      </c>
      <c r="G131">
        <f t="shared" si="42"/>
        <v>1.7528174748834</v>
      </c>
      <c r="H131">
        <f t="shared" si="42"/>
        <v>1.6902928993014159</v>
      </c>
      <c r="I131">
        <f t="shared" si="42"/>
        <v>2.3440683401143501</v>
      </c>
      <c r="J131">
        <f t="shared" si="42"/>
        <v>3.7586376537421637</v>
      </c>
      <c r="K131">
        <f t="shared" si="42"/>
        <v>0</v>
      </c>
      <c r="L131">
        <f t="shared" si="42"/>
        <v>0</v>
      </c>
      <c r="M131">
        <f t="shared" si="42"/>
        <v>0</v>
      </c>
    </row>
    <row r="132" spans="1:14">
      <c r="A132" s="1"/>
    </row>
    <row r="133" spans="1:14">
      <c r="A133" s="1" t="s">
        <v>163</v>
      </c>
      <c r="B133" s="1" t="s">
        <v>169</v>
      </c>
    </row>
    <row r="134" spans="1:14">
      <c r="A134" s="1" t="s">
        <v>165</v>
      </c>
      <c r="B134" s="78">
        <v>0</v>
      </c>
      <c r="C134" s="78">
        <v>0</v>
      </c>
      <c r="D134" s="78">
        <v>0</v>
      </c>
      <c r="E134" s="78">
        <v>0</v>
      </c>
      <c r="F134">
        <v>170.82024252128025</v>
      </c>
      <c r="G134">
        <v>113.96405129618736</v>
      </c>
      <c r="H134">
        <v>112.67920242578694</v>
      </c>
      <c r="I134">
        <v>162.81419163107554</v>
      </c>
      <c r="J134">
        <v>265.58007603167096</v>
      </c>
      <c r="K134" s="78">
        <v>0</v>
      </c>
      <c r="L134" s="78">
        <v>0</v>
      </c>
      <c r="M134" s="78">
        <v>0</v>
      </c>
    </row>
    <row r="135" spans="1:14">
      <c r="A135" s="1" t="s">
        <v>166</v>
      </c>
      <c r="B135" s="78">
        <v>0</v>
      </c>
      <c r="C135" s="78">
        <v>0</v>
      </c>
      <c r="D135" s="78">
        <v>0</v>
      </c>
      <c r="E135" s="78">
        <v>0</v>
      </c>
      <c r="F135">
        <v>128.30605849254144</v>
      </c>
      <c r="G135">
        <v>86.988218785820109</v>
      </c>
      <c r="H135">
        <v>83.885270795997059</v>
      </c>
      <c r="I135">
        <v>116.33061202356248</v>
      </c>
      <c r="J135">
        <v>186.53236817033363</v>
      </c>
      <c r="K135" s="78">
        <v>0</v>
      </c>
      <c r="L135" s="78">
        <v>0</v>
      </c>
      <c r="M135" s="78">
        <v>0</v>
      </c>
    </row>
    <row r="136" spans="1:14">
      <c r="A136" s="1" t="s">
        <v>167</v>
      </c>
      <c r="B136" s="78">
        <v>0</v>
      </c>
      <c r="C136" s="78">
        <v>0</v>
      </c>
      <c r="D136" s="78">
        <v>0</v>
      </c>
      <c r="E136" s="78">
        <v>0</v>
      </c>
      <c r="F136">
        <v>172.07891799248966</v>
      </c>
      <c r="G136">
        <v>114.80378641100137</v>
      </c>
      <c r="H136">
        <v>113.50947023313483</v>
      </c>
      <c r="I136">
        <v>164.01387514835716</v>
      </c>
      <c r="J136">
        <v>267.53698185506221</v>
      </c>
      <c r="K136" s="78">
        <v>0</v>
      </c>
      <c r="L136" s="78">
        <v>0</v>
      </c>
      <c r="M136" s="78">
        <v>0</v>
      </c>
    </row>
    <row r="137" spans="1:14">
      <c r="A137" s="1" t="s">
        <v>168</v>
      </c>
      <c r="B137" s="78">
        <v>0</v>
      </c>
      <c r="C137" s="78">
        <v>0</v>
      </c>
      <c r="D137" s="78">
        <v>0</v>
      </c>
      <c r="E137" s="78">
        <v>0</v>
      </c>
      <c r="F137">
        <v>126.4656027354763</v>
      </c>
      <c r="G137">
        <v>85.740436958974328</v>
      </c>
      <c r="H137">
        <v>82.681998469005293</v>
      </c>
      <c r="I137">
        <v>114.66193521174907</v>
      </c>
      <c r="J137">
        <v>183.85669895477557</v>
      </c>
      <c r="K137" s="78">
        <v>0</v>
      </c>
      <c r="L137" s="78">
        <v>0</v>
      </c>
      <c r="M137" s="78">
        <v>0</v>
      </c>
    </row>
    <row r="141" spans="1:14">
      <c r="A141" s="493" t="s">
        <v>631</v>
      </c>
    </row>
    <row r="142" spans="1:14">
      <c r="A142" s="1" t="s">
        <v>160</v>
      </c>
    </row>
    <row r="143" spans="1:14">
      <c r="A143" s="1" t="s">
        <v>161</v>
      </c>
      <c r="B143" s="1">
        <v>1</v>
      </c>
      <c r="C143" s="1">
        <v>2</v>
      </c>
      <c r="D143" s="1">
        <v>3</v>
      </c>
      <c r="E143" s="1">
        <v>4</v>
      </c>
      <c r="F143" s="1">
        <v>5</v>
      </c>
      <c r="G143" s="1">
        <v>6</v>
      </c>
      <c r="H143" s="1">
        <v>7</v>
      </c>
      <c r="I143" s="1">
        <v>8</v>
      </c>
      <c r="J143" s="1">
        <v>9</v>
      </c>
      <c r="K143" s="1">
        <v>10</v>
      </c>
      <c r="L143" s="1">
        <v>11</v>
      </c>
      <c r="M143" s="1">
        <v>12</v>
      </c>
    </row>
    <row r="144" spans="1:14">
      <c r="A144" s="1" t="s">
        <v>162</v>
      </c>
      <c r="B144" s="499">
        <v>0</v>
      </c>
      <c r="C144" s="499">
        <v>0</v>
      </c>
      <c r="D144" s="499">
        <v>0</v>
      </c>
      <c r="E144" s="499">
        <v>64</v>
      </c>
      <c r="F144" s="499">
        <v>156</v>
      </c>
      <c r="G144" s="499">
        <v>251</v>
      </c>
      <c r="H144" s="499">
        <v>247</v>
      </c>
      <c r="I144" s="499">
        <v>190</v>
      </c>
      <c r="J144" s="499">
        <v>93</v>
      </c>
      <c r="K144" s="499">
        <v>17</v>
      </c>
      <c r="L144" s="499">
        <v>0</v>
      </c>
      <c r="M144" s="497">
        <v>0</v>
      </c>
      <c r="N144" s="497">
        <f>SUM(B144:M144)</f>
        <v>1018</v>
      </c>
    </row>
    <row r="145" spans="1:13">
      <c r="A145" s="1"/>
    </row>
    <row r="146" spans="1:13">
      <c r="A146" s="1" t="s">
        <v>163</v>
      </c>
      <c r="B146" s="1" t="s">
        <v>164</v>
      </c>
    </row>
    <row r="147" spans="1:13">
      <c r="A147" s="1" t="s">
        <v>165</v>
      </c>
      <c r="B147">
        <f t="shared" ref="B147:M147" si="43">+B153*0.0204433</f>
        <v>0</v>
      </c>
      <c r="C147">
        <f t="shared" si="43"/>
        <v>0</v>
      </c>
      <c r="D147">
        <f t="shared" si="43"/>
        <v>0</v>
      </c>
      <c r="E147">
        <f t="shared" si="43"/>
        <v>4.4771712672097648</v>
      </c>
      <c r="F147">
        <f t="shared" si="43"/>
        <v>2.077848842751409</v>
      </c>
      <c r="G147">
        <f t="shared" si="43"/>
        <v>1.4558485570504256</v>
      </c>
      <c r="H147">
        <f t="shared" si="43"/>
        <v>1.3129543353726045</v>
      </c>
      <c r="I147">
        <f t="shared" si="43"/>
        <v>1.6289884451546113</v>
      </c>
      <c r="J147">
        <f t="shared" si="43"/>
        <v>2.820988283224207</v>
      </c>
      <c r="K147">
        <f t="shared" si="43"/>
        <v>0</v>
      </c>
      <c r="L147">
        <f t="shared" si="43"/>
        <v>0</v>
      </c>
      <c r="M147">
        <f t="shared" si="43"/>
        <v>0</v>
      </c>
    </row>
    <row r="148" spans="1:13">
      <c r="A148" s="1" t="s">
        <v>166</v>
      </c>
      <c r="B148">
        <f t="shared" ref="B148:M148" si="44">+B154*0.0204433</f>
        <v>0</v>
      </c>
      <c r="C148">
        <f t="shared" si="44"/>
        <v>0</v>
      </c>
      <c r="D148">
        <f t="shared" si="44"/>
        <v>0</v>
      </c>
      <c r="E148">
        <f t="shared" si="44"/>
        <v>3.1698962081321245</v>
      </c>
      <c r="F148">
        <f t="shared" si="44"/>
        <v>1.5157650503611524</v>
      </c>
      <c r="G148">
        <f t="shared" si="44"/>
        <v>1.0532479869940023</v>
      </c>
      <c r="H148">
        <f t="shared" si="44"/>
        <v>0.96420377916937994</v>
      </c>
      <c r="I148">
        <f t="shared" si="44"/>
        <v>1.1707453320422394</v>
      </c>
      <c r="J148">
        <f t="shared" si="44"/>
        <v>1.9272801430147839</v>
      </c>
      <c r="K148">
        <f t="shared" si="44"/>
        <v>0</v>
      </c>
      <c r="L148">
        <f t="shared" si="44"/>
        <v>0</v>
      </c>
      <c r="M148">
        <f t="shared" si="44"/>
        <v>0</v>
      </c>
    </row>
    <row r="149" spans="1:13">
      <c r="A149" s="1" t="s">
        <v>167</v>
      </c>
      <c r="B149">
        <f t="shared" ref="B149:M149" si="45">+B155*0.0204433</f>
        <v>0</v>
      </c>
      <c r="C149">
        <f t="shared" si="45"/>
        <v>0</v>
      </c>
      <c r="D149">
        <f t="shared" si="45"/>
        <v>0</v>
      </c>
      <c r="E149">
        <f t="shared" si="45"/>
        <v>4.5101609502313105</v>
      </c>
      <c r="F149">
        <f t="shared" si="45"/>
        <v>2.0931593079085249</v>
      </c>
      <c r="G149">
        <f t="shared" si="45"/>
        <v>1.466575862207639</v>
      </c>
      <c r="H149">
        <f t="shared" si="45"/>
        <v>1.322628735738508</v>
      </c>
      <c r="I149">
        <f t="shared" si="45"/>
        <v>1.6409915179083825</v>
      </c>
      <c r="J149">
        <f t="shared" si="45"/>
        <v>2.8417745126795433</v>
      </c>
      <c r="K149">
        <f t="shared" si="45"/>
        <v>0</v>
      </c>
      <c r="L149">
        <f t="shared" si="45"/>
        <v>0</v>
      </c>
      <c r="M149">
        <f t="shared" si="45"/>
        <v>0</v>
      </c>
    </row>
    <row r="150" spans="1:13">
      <c r="A150" s="1" t="s">
        <v>168</v>
      </c>
      <c r="B150">
        <f t="shared" ref="B150:M150" si="46">+B156*0.0204433</f>
        <v>0</v>
      </c>
      <c r="C150">
        <f t="shared" si="46"/>
        <v>0</v>
      </c>
      <c r="D150">
        <f t="shared" si="46"/>
        <v>0</v>
      </c>
      <c r="E150">
        <f t="shared" si="46"/>
        <v>3.1244263854744916</v>
      </c>
      <c r="F150">
        <f t="shared" si="46"/>
        <v>1.4940225189010539</v>
      </c>
      <c r="G150">
        <f t="shared" si="46"/>
        <v>1.0381399216067932</v>
      </c>
      <c r="H150">
        <f t="shared" si="46"/>
        <v>0.95037298725506492</v>
      </c>
      <c r="I150">
        <f t="shared" si="46"/>
        <v>1.1539518539186826</v>
      </c>
      <c r="J150">
        <f t="shared" si="46"/>
        <v>1.8996347311272768</v>
      </c>
      <c r="K150">
        <f t="shared" si="46"/>
        <v>0</v>
      </c>
      <c r="L150">
        <f t="shared" si="46"/>
        <v>0</v>
      </c>
      <c r="M150">
        <f t="shared" si="46"/>
        <v>0</v>
      </c>
    </row>
    <row r="151" spans="1:13">
      <c r="A151" s="1"/>
    </row>
    <row r="152" spans="1:13">
      <c r="A152" s="1" t="s">
        <v>163</v>
      </c>
      <c r="B152" s="1" t="s">
        <v>169</v>
      </c>
    </row>
    <row r="153" spans="1:13">
      <c r="A153" s="1" t="s">
        <v>165</v>
      </c>
      <c r="B153" s="78">
        <v>0</v>
      </c>
      <c r="C153" s="78">
        <v>0</v>
      </c>
      <c r="D153" s="78">
        <v>0</v>
      </c>
      <c r="E153">
        <v>219.00433233429851</v>
      </c>
      <c r="F153">
        <v>101.63960039481928</v>
      </c>
      <c r="G153">
        <v>71.213970202972391</v>
      </c>
      <c r="H153">
        <v>64.224187649381676</v>
      </c>
      <c r="I153">
        <v>79.683243172805334</v>
      </c>
      <c r="J153">
        <v>137.99084703664315</v>
      </c>
      <c r="K153" s="78">
        <v>0</v>
      </c>
      <c r="L153" s="78">
        <v>0</v>
      </c>
      <c r="M153" s="78">
        <v>0</v>
      </c>
    </row>
    <row r="154" spans="1:13">
      <c r="A154" s="1" t="s">
        <v>166</v>
      </c>
      <c r="B154" s="78">
        <v>0</v>
      </c>
      <c r="C154" s="78">
        <v>0</v>
      </c>
      <c r="D154" s="78">
        <v>0</v>
      </c>
      <c r="E154">
        <v>155.05795092436762</v>
      </c>
      <c r="F154">
        <v>74.144832309908494</v>
      </c>
      <c r="G154">
        <v>51.520448606340572</v>
      </c>
      <c r="H154">
        <v>47.164781574862175</v>
      </c>
      <c r="I154">
        <v>57.267923086891031</v>
      </c>
      <c r="J154">
        <v>94.274414747853029</v>
      </c>
      <c r="K154" s="78">
        <v>0</v>
      </c>
      <c r="L154" s="78">
        <v>0</v>
      </c>
      <c r="M154" s="78">
        <v>0</v>
      </c>
    </row>
    <row r="155" spans="1:13">
      <c r="A155" s="1" t="s">
        <v>167</v>
      </c>
      <c r="B155" s="78">
        <v>0</v>
      </c>
      <c r="C155" s="78">
        <v>0</v>
      </c>
      <c r="D155" s="78">
        <v>0</v>
      </c>
      <c r="E155">
        <v>220.61804846728808</v>
      </c>
      <c r="F155">
        <v>102.38852376614953</v>
      </c>
      <c r="G155">
        <v>71.738704720257445</v>
      </c>
      <c r="H155">
        <v>64.697418505745546</v>
      </c>
      <c r="I155">
        <v>80.270382859341808</v>
      </c>
      <c r="J155">
        <v>139.00762169901842</v>
      </c>
      <c r="K155" s="78">
        <v>0</v>
      </c>
      <c r="L155" s="78">
        <v>0</v>
      </c>
      <c r="M155" s="78">
        <v>0</v>
      </c>
    </row>
    <row r="156" spans="1:13">
      <c r="A156" s="1" t="s">
        <v>168</v>
      </c>
      <c r="B156" s="78">
        <v>0</v>
      </c>
      <c r="C156" s="78">
        <v>0</v>
      </c>
      <c r="D156" s="78">
        <v>0</v>
      </c>
      <c r="E156">
        <v>152.83375900537052</v>
      </c>
      <c r="F156">
        <v>73.0812793874303</v>
      </c>
      <c r="G156">
        <v>50.781425777970931</v>
      </c>
      <c r="H156">
        <v>46.488237576862097</v>
      </c>
      <c r="I156">
        <v>56.446456977038075</v>
      </c>
      <c r="J156">
        <v>92.922117814994479</v>
      </c>
      <c r="K156" s="78">
        <v>0</v>
      </c>
      <c r="L156" s="78">
        <v>0</v>
      </c>
      <c r="M156" s="78">
        <v>0</v>
      </c>
    </row>
    <row r="159" spans="1:13">
      <c r="A159" s="493" t="s">
        <v>632</v>
      </c>
    </row>
    <row r="160" spans="1:13">
      <c r="A160" s="1" t="s">
        <v>160</v>
      </c>
    </row>
    <row r="161" spans="1:14">
      <c r="A161" s="1" t="s">
        <v>161</v>
      </c>
      <c r="B161" s="1">
        <v>1</v>
      </c>
      <c r="C161" s="1">
        <v>2</v>
      </c>
      <c r="D161" s="1">
        <v>3</v>
      </c>
      <c r="E161" s="1">
        <v>4</v>
      </c>
      <c r="F161" s="1">
        <v>5</v>
      </c>
      <c r="G161" s="1">
        <v>6</v>
      </c>
      <c r="H161" s="1">
        <v>7</v>
      </c>
      <c r="I161" s="1">
        <v>8</v>
      </c>
      <c r="J161" s="1">
        <v>9</v>
      </c>
      <c r="K161" s="1">
        <v>10</v>
      </c>
      <c r="L161" s="1">
        <v>11</v>
      </c>
      <c r="M161" s="1">
        <v>12</v>
      </c>
    </row>
    <row r="162" spans="1:14">
      <c r="A162" s="1" t="s">
        <v>162</v>
      </c>
      <c r="B162" s="502">
        <v>0</v>
      </c>
      <c r="C162" s="502">
        <v>0</v>
      </c>
      <c r="D162" s="502">
        <v>0</v>
      </c>
      <c r="E162" s="502">
        <v>0</v>
      </c>
      <c r="F162" s="502">
        <v>85</v>
      </c>
      <c r="G162" s="502">
        <v>198</v>
      </c>
      <c r="H162" s="502">
        <v>205</v>
      </c>
      <c r="I162" s="502">
        <v>101</v>
      </c>
      <c r="J162" s="502">
        <v>41</v>
      </c>
      <c r="K162" s="502">
        <v>0</v>
      </c>
      <c r="L162" s="502">
        <v>0</v>
      </c>
      <c r="M162" s="502">
        <v>0</v>
      </c>
      <c r="N162" s="502">
        <f>SUM(B162:M162)</f>
        <v>630</v>
      </c>
    </row>
    <row r="163" spans="1:14">
      <c r="A163" s="1"/>
    </row>
    <row r="164" spans="1:14">
      <c r="A164" s="1" t="s">
        <v>163</v>
      </c>
      <c r="B164" s="1" t="s">
        <v>164</v>
      </c>
    </row>
    <row r="165" spans="1:14">
      <c r="A165" s="1" t="s">
        <v>165</v>
      </c>
      <c r="B165">
        <f t="shared" ref="B165:L165" si="47">+B171*0.0204433</f>
        <v>0</v>
      </c>
      <c r="C165">
        <f t="shared" si="47"/>
        <v>0</v>
      </c>
      <c r="D165">
        <f t="shared" si="47"/>
        <v>0</v>
      </c>
      <c r="E165">
        <f t="shared" si="47"/>
        <v>0</v>
      </c>
      <c r="F165">
        <f t="shared" si="47"/>
        <v>3.151472531358495</v>
      </c>
      <c r="G165">
        <f t="shared" si="47"/>
        <v>1.120483735951447</v>
      </c>
      <c r="H165">
        <f t="shared" si="47"/>
        <v>1.3888606281341032</v>
      </c>
      <c r="I165">
        <f t="shared" si="47"/>
        <v>2.8780077484895026</v>
      </c>
      <c r="J165">
        <f t="shared" si="47"/>
        <v>5.3523522092559288</v>
      </c>
      <c r="K165">
        <f t="shared" si="47"/>
        <v>0</v>
      </c>
      <c r="L165">
        <f t="shared" si="47"/>
        <v>0</v>
      </c>
      <c r="M165">
        <f>+M171*0.0204433</f>
        <v>0</v>
      </c>
    </row>
    <row r="166" spans="1:14">
      <c r="A166" s="1" t="s">
        <v>166</v>
      </c>
      <c r="B166">
        <f t="shared" ref="B166:M166" si="48">+B172*0.0204433</f>
        <v>0</v>
      </c>
      <c r="C166">
        <f t="shared" si="48"/>
        <v>0</v>
      </c>
      <c r="D166">
        <f t="shared" si="48"/>
        <v>0</v>
      </c>
      <c r="E166">
        <f t="shared" si="48"/>
        <v>0</v>
      </c>
      <c r="F166">
        <f t="shared" si="48"/>
        <v>2.3566643322606402</v>
      </c>
      <c r="G166">
        <f t="shared" si="48"/>
        <v>0.85822263954483047</v>
      </c>
      <c r="H166">
        <f t="shared" si="48"/>
        <v>1.0370725912051428</v>
      </c>
      <c r="I166">
        <f t="shared" si="48"/>
        <v>2.0928044141741822</v>
      </c>
      <c r="J166">
        <f t="shared" si="48"/>
        <v>3.8217986354944333</v>
      </c>
      <c r="K166">
        <f t="shared" si="48"/>
        <v>0</v>
      </c>
      <c r="L166">
        <f t="shared" si="48"/>
        <v>0</v>
      </c>
      <c r="M166">
        <f t="shared" si="48"/>
        <v>0</v>
      </c>
    </row>
    <row r="167" spans="1:14">
      <c r="A167" s="1" t="s">
        <v>167</v>
      </c>
      <c r="B167">
        <f t="shared" ref="B167:M167" si="49">+B173*0.0204433</f>
        <v>0</v>
      </c>
      <c r="C167">
        <f t="shared" si="49"/>
        <v>0</v>
      </c>
      <c r="D167">
        <f t="shared" si="49"/>
        <v>0</v>
      </c>
      <c r="E167">
        <f t="shared" si="49"/>
        <v>0</v>
      </c>
      <c r="F167">
        <f t="shared" si="49"/>
        <v>3.1746939079053469</v>
      </c>
      <c r="G167">
        <f t="shared" si="49"/>
        <v>1.1287399319005629</v>
      </c>
      <c r="H167">
        <f t="shared" si="49"/>
        <v>1.3990943380256171</v>
      </c>
      <c r="I167">
        <f t="shared" si="49"/>
        <v>2.8992141213731095</v>
      </c>
      <c r="J167">
        <f t="shared" si="49"/>
        <v>5.3917905939557089</v>
      </c>
      <c r="K167">
        <f t="shared" si="49"/>
        <v>0</v>
      </c>
      <c r="L167">
        <f t="shared" si="49"/>
        <v>0</v>
      </c>
      <c r="M167">
        <f t="shared" si="49"/>
        <v>0</v>
      </c>
    </row>
    <row r="168" spans="1:14">
      <c r="A168" s="1" t="s">
        <v>168</v>
      </c>
      <c r="B168">
        <f t="shared" ref="B168:M168" si="50">+B174*0.0204433</f>
        <v>0</v>
      </c>
      <c r="C168">
        <f t="shared" si="50"/>
        <v>0</v>
      </c>
      <c r="D168">
        <f t="shared" si="50"/>
        <v>0</v>
      </c>
      <c r="E168">
        <f t="shared" si="50"/>
        <v>0</v>
      </c>
      <c r="F168">
        <f t="shared" si="50"/>
        <v>2.3228597209372293</v>
      </c>
      <c r="G168">
        <f t="shared" si="50"/>
        <v>0.84591206889562187</v>
      </c>
      <c r="H168">
        <f t="shared" si="50"/>
        <v>1.022196549937856</v>
      </c>
      <c r="I168">
        <f t="shared" si="50"/>
        <v>2.0627846787249622</v>
      </c>
      <c r="J168">
        <f t="shared" si="50"/>
        <v>3.766977753427915</v>
      </c>
      <c r="K168">
        <f t="shared" si="50"/>
        <v>0</v>
      </c>
      <c r="L168">
        <f t="shared" si="50"/>
        <v>0</v>
      </c>
      <c r="M168">
        <f t="shared" si="50"/>
        <v>0</v>
      </c>
    </row>
    <row r="169" spans="1:14">
      <c r="A169" s="1"/>
    </row>
    <row r="170" spans="1:14">
      <c r="A170" s="1" t="s">
        <v>163</v>
      </c>
      <c r="B170" s="1" t="s">
        <v>169</v>
      </c>
    </row>
    <row r="171" spans="1:14">
      <c r="A171" s="1" t="s">
        <v>165</v>
      </c>
      <c r="B171" s="78">
        <v>0</v>
      </c>
      <c r="C171" s="78">
        <v>0</v>
      </c>
      <c r="D171" s="78">
        <v>0</v>
      </c>
      <c r="E171" s="78">
        <v>0</v>
      </c>
      <c r="F171">
        <v>154.15674237322227</v>
      </c>
      <c r="G171">
        <v>54.809337824688136</v>
      </c>
      <c r="H171">
        <v>67.937203295656914</v>
      </c>
      <c r="I171">
        <v>140.77999875213408</v>
      </c>
      <c r="J171">
        <v>261.81449224224701</v>
      </c>
      <c r="K171" s="78">
        <v>0</v>
      </c>
      <c r="L171" s="78">
        <v>0</v>
      </c>
      <c r="M171" s="78">
        <v>0</v>
      </c>
    </row>
    <row r="172" spans="1:14">
      <c r="A172" s="1" t="s">
        <v>166</v>
      </c>
      <c r="B172" s="78">
        <v>0</v>
      </c>
      <c r="C172" s="78">
        <v>0</v>
      </c>
      <c r="D172" s="78">
        <v>0</v>
      </c>
      <c r="E172" s="78">
        <v>0</v>
      </c>
      <c r="F172">
        <v>115.27807801385491</v>
      </c>
      <c r="G172">
        <v>41.980631284813626</v>
      </c>
      <c r="H172">
        <v>50.729216477043465</v>
      </c>
      <c r="I172">
        <v>102.37116386171421</v>
      </c>
      <c r="J172">
        <v>186.94626775004198</v>
      </c>
      <c r="K172" s="78">
        <v>0</v>
      </c>
      <c r="L172" s="78">
        <v>0</v>
      </c>
      <c r="M172" s="78">
        <v>0</v>
      </c>
    </row>
    <row r="173" spans="1:14">
      <c r="A173" s="1" t="s">
        <v>167</v>
      </c>
      <c r="B173" s="78">
        <v>0</v>
      </c>
      <c r="C173" s="78">
        <v>0</v>
      </c>
      <c r="D173" s="78">
        <v>0</v>
      </c>
      <c r="E173" s="78">
        <v>0</v>
      </c>
      <c r="F173">
        <v>155.29263415913022</v>
      </c>
      <c r="G173">
        <v>55.213196103396363</v>
      </c>
      <c r="H173">
        <v>68.437793214677527</v>
      </c>
      <c r="I173">
        <v>141.81732505872876</v>
      </c>
      <c r="J173">
        <v>263.74365165876884</v>
      </c>
      <c r="K173" s="78">
        <v>0</v>
      </c>
      <c r="L173" s="78">
        <v>0</v>
      </c>
      <c r="M173" s="78">
        <v>0</v>
      </c>
    </row>
    <row r="174" spans="1:14">
      <c r="A174" s="1" t="s">
        <v>168</v>
      </c>
      <c r="B174" s="78">
        <v>0</v>
      </c>
      <c r="C174" s="78">
        <v>0</v>
      </c>
      <c r="D174" s="78">
        <v>0</v>
      </c>
      <c r="E174" s="78">
        <v>0</v>
      </c>
      <c r="F174">
        <v>113.62449902595125</v>
      </c>
      <c r="G174">
        <v>41.378450098351138</v>
      </c>
      <c r="H174">
        <v>50.001543289872764</v>
      </c>
      <c r="I174">
        <v>100.90272503582896</v>
      </c>
      <c r="J174">
        <v>184.26466145034877</v>
      </c>
      <c r="K174" s="78">
        <v>0</v>
      </c>
      <c r="L174" s="78">
        <v>0</v>
      </c>
      <c r="M174" s="78">
        <v>0</v>
      </c>
    </row>
    <row r="177" spans="1:14">
      <c r="A177" s="492" t="s">
        <v>655</v>
      </c>
    </row>
    <row r="178" spans="1:14">
      <c r="A178" s="1" t="s">
        <v>160</v>
      </c>
    </row>
    <row r="179" spans="1:14">
      <c r="A179" s="1" t="s">
        <v>161</v>
      </c>
      <c r="B179" s="1">
        <v>1</v>
      </c>
      <c r="C179" s="1">
        <v>2</v>
      </c>
      <c r="D179" s="1">
        <v>3</v>
      </c>
      <c r="E179" s="1">
        <v>4</v>
      </c>
      <c r="F179" s="1">
        <v>5</v>
      </c>
      <c r="G179" s="1">
        <v>6</v>
      </c>
      <c r="H179" s="1">
        <v>7</v>
      </c>
      <c r="I179" s="1">
        <v>8</v>
      </c>
      <c r="J179" s="1">
        <v>9</v>
      </c>
      <c r="K179" s="1">
        <v>10</v>
      </c>
      <c r="L179" s="1">
        <v>11</v>
      </c>
      <c r="M179" s="1">
        <v>12</v>
      </c>
    </row>
    <row r="180" spans="1:14">
      <c r="A180" s="1" t="s">
        <v>162</v>
      </c>
      <c r="B180" s="499">
        <v>0</v>
      </c>
      <c r="C180" s="499">
        <v>0</v>
      </c>
      <c r="D180" s="499">
        <v>0</v>
      </c>
      <c r="E180" s="499">
        <v>38</v>
      </c>
      <c r="F180" s="499">
        <v>94</v>
      </c>
      <c r="G180" s="499">
        <v>187</v>
      </c>
      <c r="H180" s="497">
        <v>187</v>
      </c>
      <c r="I180" s="499">
        <v>134</v>
      </c>
      <c r="J180" s="499">
        <v>61</v>
      </c>
      <c r="K180" s="499">
        <v>9</v>
      </c>
      <c r="L180" s="499">
        <v>0</v>
      </c>
      <c r="M180" s="499">
        <v>0</v>
      </c>
      <c r="N180" s="497">
        <f>SUM(B180:M180)</f>
        <v>710</v>
      </c>
    </row>
    <row r="181" spans="1:14">
      <c r="A181" s="1"/>
    </row>
    <row r="182" spans="1:14">
      <c r="A182" s="1" t="s">
        <v>163</v>
      </c>
      <c r="B182" s="1" t="s">
        <v>164</v>
      </c>
    </row>
    <row r="183" spans="1:14">
      <c r="A183" s="1" t="s">
        <v>165</v>
      </c>
      <c r="B183">
        <f>+B189*0.0204433</f>
        <v>0</v>
      </c>
      <c r="C183">
        <f t="shared" ref="C183:M183" si="51">+C189*0.0204433</f>
        <v>0</v>
      </c>
      <c r="D183">
        <f t="shared" si="51"/>
        <v>0</v>
      </c>
      <c r="E183">
        <f t="shared" si="51"/>
        <v>5.7964348153622431</v>
      </c>
      <c r="F183">
        <f t="shared" si="51"/>
        <v>3.0977894000539186</v>
      </c>
      <c r="G183">
        <f t="shared" si="51"/>
        <v>1.5010191607276193</v>
      </c>
      <c r="H183">
        <f t="shared" si="51"/>
        <v>1.359510087602954</v>
      </c>
      <c r="I183">
        <f t="shared" si="51"/>
        <v>1.7590252802411273</v>
      </c>
      <c r="J183">
        <f t="shared" si="51"/>
        <v>3.4910492791619627</v>
      </c>
      <c r="K183">
        <f t="shared" si="51"/>
        <v>0</v>
      </c>
      <c r="L183">
        <f t="shared" si="51"/>
        <v>0</v>
      </c>
      <c r="M183">
        <f t="shared" si="51"/>
        <v>0</v>
      </c>
    </row>
    <row r="184" spans="1:14">
      <c r="A184" s="1" t="s">
        <v>166</v>
      </c>
      <c r="B184">
        <f t="shared" ref="B184:M184" si="52">+B190*0.0204433</f>
        <v>0</v>
      </c>
      <c r="C184">
        <f t="shared" si="52"/>
        <v>0</v>
      </c>
      <c r="D184">
        <f t="shared" si="52"/>
        <v>0</v>
      </c>
      <c r="E184">
        <f t="shared" si="52"/>
        <v>4.2820856580099393</v>
      </c>
      <c r="F184">
        <f t="shared" si="52"/>
        <v>2.2933092222420006</v>
      </c>
      <c r="G184">
        <f t="shared" si="52"/>
        <v>1.1221347691958083</v>
      </c>
      <c r="H184">
        <f t="shared" si="52"/>
        <v>1.0273915889660405</v>
      </c>
      <c r="I184">
        <f t="shared" si="52"/>
        <v>1.3134252618443305</v>
      </c>
      <c r="J184">
        <f t="shared" si="52"/>
        <v>2.5050426409440258</v>
      </c>
      <c r="K184">
        <f t="shared" si="52"/>
        <v>0</v>
      </c>
      <c r="L184">
        <f t="shared" si="52"/>
        <v>0</v>
      </c>
      <c r="M184">
        <f t="shared" si="52"/>
        <v>0</v>
      </c>
    </row>
    <row r="185" spans="1:14">
      <c r="A185" s="1" t="s">
        <v>167</v>
      </c>
      <c r="B185">
        <f t="shared" ref="B185:M185" si="53">+B191*0.0204433</f>
        <v>0</v>
      </c>
      <c r="C185">
        <f t="shared" si="53"/>
        <v>0</v>
      </c>
      <c r="D185">
        <f t="shared" si="53"/>
        <v>0</v>
      </c>
      <c r="E185">
        <f t="shared" si="53"/>
        <v>5.8391453876859645</v>
      </c>
      <c r="F185">
        <f t="shared" si="53"/>
        <v>3.1206152166858949</v>
      </c>
      <c r="G185">
        <f t="shared" si="53"/>
        <v>1.5120793019119281</v>
      </c>
      <c r="H185">
        <f t="shared" si="53"/>
        <v>1.3695275303537124</v>
      </c>
      <c r="I185">
        <f t="shared" si="53"/>
        <v>1.771986519148167</v>
      </c>
      <c r="J185">
        <f t="shared" si="53"/>
        <v>3.5167728001663145</v>
      </c>
      <c r="K185">
        <f t="shared" si="53"/>
        <v>0</v>
      </c>
      <c r="L185">
        <f t="shared" si="53"/>
        <v>0</v>
      </c>
      <c r="M185">
        <f t="shared" si="53"/>
        <v>0</v>
      </c>
    </row>
    <row r="186" spans="1:14">
      <c r="A186" s="1" t="s">
        <v>168</v>
      </c>
      <c r="B186">
        <f t="shared" ref="B186:M186" si="54">+B192*0.0204433</f>
        <v>0</v>
      </c>
      <c r="C186">
        <f t="shared" si="54"/>
        <v>0</v>
      </c>
      <c r="D186">
        <f t="shared" si="54"/>
        <v>0</v>
      </c>
      <c r="E186">
        <f t="shared" si="54"/>
        <v>4.2206622981614368</v>
      </c>
      <c r="F186">
        <f t="shared" si="54"/>
        <v>2.2604133932344306</v>
      </c>
      <c r="G186">
        <f t="shared" si="54"/>
        <v>1.1060385737360323</v>
      </c>
      <c r="H186">
        <f t="shared" si="54"/>
        <v>1.0126544145341507</v>
      </c>
      <c r="I186">
        <f t="shared" si="54"/>
        <v>1.2945851453834487</v>
      </c>
      <c r="J186">
        <f t="shared" si="54"/>
        <v>2.46910965224196</v>
      </c>
      <c r="K186">
        <f t="shared" si="54"/>
        <v>0</v>
      </c>
      <c r="L186">
        <f t="shared" si="54"/>
        <v>0</v>
      </c>
      <c r="M186">
        <f t="shared" si="54"/>
        <v>0</v>
      </c>
    </row>
    <row r="187" spans="1:14">
      <c r="A187" s="1"/>
    </row>
    <row r="188" spans="1:14">
      <c r="A188" s="1" t="s">
        <v>163</v>
      </c>
      <c r="B188" s="1" t="s">
        <v>169</v>
      </c>
    </row>
    <row r="189" spans="1:14">
      <c r="A189" s="1" t="s">
        <v>165</v>
      </c>
      <c r="B189" s="78">
        <v>0</v>
      </c>
      <c r="C189" s="78">
        <v>0</v>
      </c>
      <c r="D189" s="78">
        <v>0</v>
      </c>
      <c r="E189" s="479">
        <v>283.5371400587108</v>
      </c>
      <c r="F189" s="479">
        <v>151.53079004142768</v>
      </c>
      <c r="G189" s="479">
        <v>73.423525591642218</v>
      </c>
      <c r="H189" s="479">
        <v>66.501498662297863</v>
      </c>
      <c r="I189" s="479">
        <v>86.044096610680626</v>
      </c>
      <c r="J189" s="479">
        <v>170.76740443871404</v>
      </c>
      <c r="K189" s="78">
        <v>0</v>
      </c>
      <c r="L189" s="78">
        <v>0</v>
      </c>
      <c r="M189" s="78">
        <v>0</v>
      </c>
    </row>
    <row r="190" spans="1:14">
      <c r="A190" s="1" t="s">
        <v>166</v>
      </c>
      <c r="B190" s="78">
        <v>0</v>
      </c>
      <c r="C190" s="78">
        <v>0</v>
      </c>
      <c r="D190" s="78">
        <v>0</v>
      </c>
      <c r="E190" s="479">
        <v>209.46156726213181</v>
      </c>
      <c r="F190" s="479">
        <v>112.17901328268921</v>
      </c>
      <c r="G190" s="479">
        <v>54.890099406446524</v>
      </c>
      <c r="H190" s="479">
        <v>50.255662684891405</v>
      </c>
      <c r="I190" s="479">
        <v>64.247223385868736</v>
      </c>
      <c r="J190" s="479">
        <v>122.53611897022623</v>
      </c>
      <c r="K190" s="78">
        <v>0</v>
      </c>
      <c r="L190" s="78">
        <v>0</v>
      </c>
      <c r="M190" s="78">
        <v>0</v>
      </c>
    </row>
    <row r="191" spans="1:14">
      <c r="A191" s="1" t="s">
        <v>167</v>
      </c>
      <c r="B191" s="78">
        <v>0</v>
      </c>
      <c r="C191" s="78">
        <v>0</v>
      </c>
      <c r="D191" s="78">
        <v>0</v>
      </c>
      <c r="E191" s="479">
        <v>285.62636109072236</v>
      </c>
      <c r="F191" s="479">
        <v>152.64733270489083</v>
      </c>
      <c r="G191" s="479">
        <v>73.964541043370104</v>
      </c>
      <c r="H191" s="479">
        <v>66.991509705072687</v>
      </c>
      <c r="I191" s="479">
        <v>86.678105743601421</v>
      </c>
      <c r="J191" s="479">
        <v>172.02569057668353</v>
      </c>
      <c r="K191" s="78">
        <v>0</v>
      </c>
      <c r="L191" s="78">
        <v>0</v>
      </c>
      <c r="M191" s="78">
        <v>0</v>
      </c>
    </row>
    <row r="192" spans="1:14">
      <c r="A192" s="1" t="s">
        <v>168</v>
      </c>
      <c r="B192" s="78">
        <v>0</v>
      </c>
      <c r="C192" s="78">
        <v>0</v>
      </c>
      <c r="D192" s="78">
        <v>0</v>
      </c>
      <c r="E192" s="479">
        <v>206.45699560058486</v>
      </c>
      <c r="F192" s="479">
        <v>110.56988809215882</v>
      </c>
      <c r="G192" s="479">
        <v>54.102741423157326</v>
      </c>
      <c r="H192" s="479">
        <v>49.534782277526162</v>
      </c>
      <c r="I192" s="479">
        <v>63.325644361891115</v>
      </c>
      <c r="J192" s="479">
        <v>120.77842873909593</v>
      </c>
      <c r="K192" s="78">
        <v>0</v>
      </c>
      <c r="L192" s="78">
        <v>0</v>
      </c>
      <c r="M192" s="78">
        <v>0</v>
      </c>
    </row>
    <row r="193" spans="1:1">
      <c r="A193" s="1"/>
    </row>
  </sheetData>
  <phoneticPr fontId="14" type="noConversion"/>
  <pageMargins left="0.75" right="0.75" top="1" bottom="1" header="0" footer="0"/>
  <pageSetup paperSize="9" orientation="portrait" horizontalDpi="0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/>
  <dimension ref="A1:AO303"/>
  <sheetViews>
    <sheetView zoomScaleNormal="100" workbookViewId="0">
      <selection activeCell="G204" sqref="G204"/>
    </sheetView>
  </sheetViews>
  <sheetFormatPr baseColWidth="10" defaultRowHeight="12.75"/>
  <cols>
    <col min="1" max="1" width="13.140625" customWidth="1"/>
    <col min="2" max="2" width="14.42578125" customWidth="1"/>
    <col min="3" max="3" width="15" customWidth="1"/>
    <col min="4" max="4" width="16.28515625" customWidth="1"/>
    <col min="5" max="5" width="12.85546875" customWidth="1"/>
    <col min="6" max="6" width="13.28515625" customWidth="1"/>
    <col min="7" max="7" width="13.140625" bestFit="1" customWidth="1"/>
    <col min="8" max="8" width="14.85546875" customWidth="1"/>
    <col min="12" max="12" width="11.42578125" customWidth="1"/>
    <col min="13" max="15" width="11.42578125" hidden="1" customWidth="1"/>
    <col min="16" max="16" width="17.7109375" hidden="1" customWidth="1"/>
    <col min="17" max="17" width="15" hidden="1" customWidth="1"/>
    <col min="18" max="27" width="11.42578125" hidden="1" customWidth="1"/>
    <col min="28" max="28" width="11.42578125" customWidth="1"/>
    <col min="29" max="29" width="13.140625" customWidth="1"/>
  </cols>
  <sheetData>
    <row r="1" spans="1:41" ht="13.5" thickBot="1">
      <c r="A1" s="127"/>
      <c r="B1" s="127"/>
      <c r="C1" s="127"/>
      <c r="D1" s="127"/>
      <c r="E1" s="127"/>
      <c r="F1" s="127"/>
      <c r="G1" s="127"/>
      <c r="H1" s="127"/>
      <c r="I1" s="127"/>
      <c r="J1" s="127"/>
      <c r="K1" s="127"/>
    </row>
    <row r="2" spans="1:41" ht="13.5" thickBot="1">
      <c r="A2" s="320" t="s">
        <v>260</v>
      </c>
      <c r="B2" s="315" t="str">
        <f>VLOOKUP(Lugar!E84,Lugar!A64:C83,2)</f>
        <v>Salta</v>
      </c>
      <c r="C2" s="127"/>
      <c r="D2" s="127"/>
      <c r="E2" s="127"/>
      <c r="F2" s="127"/>
      <c r="G2" s="127"/>
      <c r="H2" s="127"/>
      <c r="I2" s="127"/>
      <c r="J2" s="127"/>
      <c r="K2" s="127"/>
    </row>
    <row r="3" spans="1:41">
      <c r="A3" s="127"/>
      <c r="B3" s="127"/>
      <c r="C3" s="127"/>
      <c r="D3" s="127"/>
      <c r="E3" s="127"/>
      <c r="F3" s="127"/>
      <c r="G3" s="127"/>
      <c r="H3" s="127"/>
      <c r="I3" s="127"/>
      <c r="J3" s="127"/>
      <c r="K3" s="127"/>
    </row>
    <row r="4" spans="1:41">
      <c r="A4" s="316" t="s">
        <v>518</v>
      </c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78"/>
      <c r="N4" s="88" t="s">
        <v>208</v>
      </c>
      <c r="O4" s="78"/>
      <c r="P4" s="78"/>
      <c r="Q4" s="78"/>
      <c r="R4" s="78" t="s">
        <v>206</v>
      </c>
      <c r="S4" s="78">
        <f>IF($B$2="Salta",+mensual!T49,IF($B$2="Jujuy",+mensual!T50,IF($B$2="La Quiaca",+mensual!T51,IF($B$2="Santiago del Estero",+mensual!T52,IF($B$2="Tartagal",+mensual!T53,IF($B$2="Tinogasta",+mensual!T54,IF($B$2="Catamarca",+mensual!T55,IF($B$2="Achalco",+mensual!T56,0))))))))</f>
        <v>31.700000000000003</v>
      </c>
      <c r="T4" s="78" t="s">
        <v>2</v>
      </c>
      <c r="U4" s="78" t="s">
        <v>207</v>
      </c>
      <c r="V4" s="78">
        <f>IF($B$2="Salta",+mensual!W49,IF($B$2="Jujuy",+mensual!W50,IF($B$2="La Quiaca",+mensual!W51,IF($B$2="Santiago del Estero",+mensual!W52,IF($B$2="Tartagal",+mensual!W53,IF($B$2="Tinogasta",+mensual!W54,IF($B$2="Catamarca",+mensual!W55,IF($B$2="Achalco",+mensual!W56,0))))))))</f>
        <v>19.200000000000003</v>
      </c>
      <c r="W4" s="78"/>
      <c r="X4" s="78"/>
      <c r="Y4" s="78"/>
      <c r="Z4" s="78"/>
      <c r="AA4" s="78"/>
    </row>
    <row r="5" spans="1:41">
      <c r="A5" s="127"/>
      <c r="B5" s="127"/>
      <c r="C5" s="127"/>
      <c r="D5" s="127"/>
      <c r="E5" s="127"/>
      <c r="F5" s="127"/>
      <c r="G5" s="127"/>
      <c r="H5" s="127"/>
      <c r="I5" s="127"/>
      <c r="J5" s="127"/>
      <c r="K5" s="127"/>
      <c r="L5" s="78"/>
      <c r="N5" s="78"/>
      <c r="O5" s="220"/>
      <c r="P5" s="220"/>
      <c r="Q5" s="220"/>
      <c r="R5" s="220"/>
      <c r="S5" s="220"/>
      <c r="T5" s="220"/>
      <c r="U5" s="220"/>
      <c r="V5" s="220"/>
      <c r="W5" s="220"/>
      <c r="X5" s="220"/>
      <c r="Y5" s="220"/>
      <c r="Z5" s="220"/>
      <c r="AA5" s="78"/>
      <c r="AG5" s="78"/>
      <c r="AH5" s="78"/>
      <c r="AI5" s="78"/>
      <c r="AJ5" s="78"/>
      <c r="AK5" s="78"/>
      <c r="AL5" s="78"/>
      <c r="AM5" s="78"/>
      <c r="AN5" s="78"/>
      <c r="AO5" s="78"/>
    </row>
    <row r="6" spans="1:41" hidden="1">
      <c r="A6" s="316" t="s">
        <v>196</v>
      </c>
      <c r="B6" s="127"/>
      <c r="C6" s="127"/>
      <c r="D6" s="127"/>
      <c r="E6" s="127"/>
      <c r="F6" s="127"/>
      <c r="G6" s="127"/>
      <c r="H6" s="127"/>
      <c r="I6" s="127"/>
      <c r="J6" s="127"/>
      <c r="K6" s="127"/>
      <c r="L6" s="88"/>
      <c r="N6" s="88" t="s">
        <v>187</v>
      </c>
      <c r="O6" s="221">
        <v>0</v>
      </c>
      <c r="P6" s="221">
        <v>2</v>
      </c>
      <c r="Q6" s="221">
        <v>4</v>
      </c>
      <c r="R6" s="221">
        <v>6</v>
      </c>
      <c r="S6" s="221">
        <v>8</v>
      </c>
      <c r="T6" s="221">
        <v>10</v>
      </c>
      <c r="U6" s="221">
        <v>12</v>
      </c>
      <c r="V6" s="221">
        <v>14</v>
      </c>
      <c r="W6" s="221">
        <v>16</v>
      </c>
      <c r="X6" s="221">
        <v>18</v>
      </c>
      <c r="Y6" s="221">
        <v>20</v>
      </c>
      <c r="Z6" s="221">
        <v>22</v>
      </c>
      <c r="AA6" s="78"/>
      <c r="AG6" s="78"/>
      <c r="AH6" s="78"/>
      <c r="AI6" s="78"/>
      <c r="AJ6" s="78"/>
      <c r="AK6" s="78"/>
      <c r="AL6" s="78"/>
      <c r="AM6" s="78"/>
      <c r="AN6" s="78"/>
      <c r="AO6" s="78"/>
    </row>
    <row r="7" spans="1:41" hidden="1">
      <c r="A7" s="127"/>
      <c r="B7" s="127"/>
      <c r="C7" s="127"/>
      <c r="D7" s="127"/>
      <c r="E7" s="127"/>
      <c r="F7" s="127"/>
      <c r="G7" s="127"/>
      <c r="H7" s="127"/>
      <c r="I7" s="127"/>
      <c r="J7" s="127"/>
      <c r="K7" s="127"/>
      <c r="L7" s="88"/>
      <c r="N7" s="88" t="s">
        <v>205</v>
      </c>
      <c r="O7" s="221">
        <v>0.222</v>
      </c>
      <c r="P7" s="220">
        <v>0.13900000000000001</v>
      </c>
      <c r="Q7" s="220">
        <v>5.6000000000000001E-2</v>
      </c>
      <c r="R7" s="220">
        <v>0</v>
      </c>
      <c r="S7" s="220">
        <v>0.111</v>
      </c>
      <c r="T7" s="220">
        <v>0.58299999999999996</v>
      </c>
      <c r="U7" s="220">
        <v>0.86099999999999999</v>
      </c>
      <c r="V7" s="220">
        <v>1</v>
      </c>
      <c r="W7" s="220">
        <v>0.91700000000000004</v>
      </c>
      <c r="X7" s="220">
        <v>0.69399999999999995</v>
      </c>
      <c r="Y7" s="220">
        <v>0.44400000000000001</v>
      </c>
      <c r="Z7" s="220">
        <v>0.309</v>
      </c>
      <c r="AA7" s="78"/>
      <c r="AG7" s="88"/>
      <c r="AH7" s="88"/>
      <c r="AI7" s="88"/>
      <c r="AJ7" s="88"/>
      <c r="AK7" s="88"/>
      <c r="AL7" s="88"/>
      <c r="AM7" s="88"/>
      <c r="AN7" s="78"/>
      <c r="AO7" s="78"/>
    </row>
    <row r="8" spans="1:41" ht="14.25" hidden="1">
      <c r="A8" s="95" t="s">
        <v>529</v>
      </c>
      <c r="B8" s="127"/>
      <c r="C8" s="127"/>
      <c r="D8" s="127"/>
      <c r="E8" s="127"/>
      <c r="F8" s="127"/>
      <c r="G8" s="127"/>
      <c r="H8" s="127"/>
      <c r="I8" s="127"/>
      <c r="J8" s="127"/>
      <c r="K8" s="127"/>
      <c r="L8" s="88"/>
      <c r="N8" s="88" t="s">
        <v>204</v>
      </c>
      <c r="O8" s="88">
        <f>+($S$4-$V$4)*O7+$V$4</f>
        <v>21.975000000000001</v>
      </c>
      <c r="P8" s="88">
        <f t="shared" ref="P8:Z8" si="0">+($S$4-$V$4)*P7+$V$4</f>
        <v>20.937500000000004</v>
      </c>
      <c r="Q8" s="88">
        <f t="shared" si="0"/>
        <v>19.900000000000002</v>
      </c>
      <c r="R8" s="88">
        <f t="shared" si="0"/>
        <v>19.200000000000003</v>
      </c>
      <c r="S8" s="88">
        <f t="shared" si="0"/>
        <v>20.587500000000002</v>
      </c>
      <c r="T8" s="88">
        <f t="shared" si="0"/>
        <v>26.487500000000004</v>
      </c>
      <c r="U8" s="88">
        <f t="shared" si="0"/>
        <v>29.962500000000002</v>
      </c>
      <c r="V8" s="88">
        <f t="shared" si="0"/>
        <v>31.700000000000003</v>
      </c>
      <c r="W8" s="88">
        <f t="shared" si="0"/>
        <v>30.662500000000001</v>
      </c>
      <c r="X8" s="88">
        <f t="shared" si="0"/>
        <v>27.875</v>
      </c>
      <c r="Y8" s="88">
        <f t="shared" si="0"/>
        <v>24.750000000000004</v>
      </c>
      <c r="Z8" s="88">
        <f t="shared" si="0"/>
        <v>23.062500000000004</v>
      </c>
      <c r="AA8" s="78"/>
      <c r="AG8" s="78"/>
      <c r="AH8" s="78"/>
      <c r="AI8" s="78"/>
      <c r="AJ8" s="78"/>
      <c r="AK8" s="78"/>
      <c r="AL8" s="78"/>
      <c r="AM8" s="78"/>
      <c r="AN8" s="78"/>
      <c r="AO8" s="78"/>
    </row>
    <row r="9" spans="1:41" hidden="1">
      <c r="A9" s="127"/>
      <c r="B9" s="127"/>
      <c r="C9" s="127"/>
      <c r="D9" s="127"/>
      <c r="E9" s="127"/>
      <c r="F9" s="127"/>
      <c r="G9" s="127"/>
      <c r="H9" s="127"/>
      <c r="I9" s="127"/>
      <c r="J9" s="127"/>
      <c r="K9" s="127"/>
      <c r="L9" s="88"/>
      <c r="N9" s="88"/>
      <c r="O9" s="8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G9" s="88"/>
      <c r="AH9" s="88"/>
      <c r="AI9" s="88"/>
      <c r="AJ9" s="88"/>
      <c r="AK9" s="88"/>
      <c r="AL9" s="88"/>
      <c r="AM9" s="88"/>
      <c r="AN9" s="78"/>
      <c r="AO9" s="78"/>
    </row>
    <row r="10" spans="1:41" hidden="1">
      <c r="A10" s="95" t="s">
        <v>183</v>
      </c>
      <c r="B10" s="97" t="s">
        <v>188</v>
      </c>
      <c r="C10" s="97" t="s">
        <v>189</v>
      </c>
      <c r="D10" s="97" t="s">
        <v>190</v>
      </c>
      <c r="E10" s="97" t="s">
        <v>191</v>
      </c>
      <c r="F10" s="97" t="s">
        <v>192</v>
      </c>
      <c r="G10" s="97" t="s">
        <v>193</v>
      </c>
      <c r="H10" s="97" t="s">
        <v>194</v>
      </c>
      <c r="I10" s="97" t="s">
        <v>195</v>
      </c>
      <c r="J10" s="97" t="s">
        <v>6</v>
      </c>
      <c r="K10" s="97"/>
      <c r="L10" s="88"/>
      <c r="N10" s="88" t="s">
        <v>259</v>
      </c>
      <c r="O10" s="88"/>
      <c r="P10" s="78"/>
      <c r="Q10" s="78"/>
      <c r="R10" s="78"/>
      <c r="S10" s="78"/>
      <c r="T10" s="78"/>
      <c r="U10" s="78"/>
      <c r="V10" s="78"/>
      <c r="W10" s="78"/>
      <c r="X10" s="78"/>
      <c r="Y10" s="78" t="s">
        <v>209</v>
      </c>
      <c r="Z10" s="78"/>
      <c r="AA10" s="78"/>
      <c r="AG10" s="78"/>
      <c r="AH10" s="78"/>
      <c r="AI10" s="78"/>
      <c r="AJ10" s="78"/>
      <c r="AK10" s="78"/>
      <c r="AL10" s="78"/>
      <c r="AM10" s="78"/>
      <c r="AN10" s="78"/>
      <c r="AO10" s="78"/>
    </row>
    <row r="11" spans="1:41" hidden="1">
      <c r="A11" s="95" t="s">
        <v>181</v>
      </c>
      <c r="B11" s="222">
        <f>+superficies!D11</f>
        <v>0</v>
      </c>
      <c r="C11" s="222">
        <f>+superficies!D10</f>
        <v>9.3299999999999983</v>
      </c>
      <c r="D11" s="222">
        <f>+superficies!D9</f>
        <v>0</v>
      </c>
      <c r="E11" s="222">
        <f>+superficies!D8</f>
        <v>15.75</v>
      </c>
      <c r="F11" s="222">
        <f>+superficies!D15</f>
        <v>0</v>
      </c>
      <c r="G11" s="222">
        <f>+superficies!D14</f>
        <v>29.099999999999998</v>
      </c>
      <c r="H11" s="222">
        <f>+superficies!D13</f>
        <v>0</v>
      </c>
      <c r="I11" s="222">
        <f>+superficies!D12</f>
        <v>27.89</v>
      </c>
      <c r="J11" s="222">
        <f>+superficies!D18</f>
        <v>109.12499999999999</v>
      </c>
      <c r="K11" s="127"/>
      <c r="L11" s="78"/>
      <c r="N11" s="88" t="s">
        <v>183</v>
      </c>
      <c r="O11" s="89" t="s">
        <v>188</v>
      </c>
      <c r="P11" s="89" t="s">
        <v>189</v>
      </c>
      <c r="Q11" s="89" t="s">
        <v>190</v>
      </c>
      <c r="R11" s="89" t="s">
        <v>191</v>
      </c>
      <c r="S11" s="89" t="s">
        <v>192</v>
      </c>
      <c r="T11" s="89" t="s">
        <v>193</v>
      </c>
      <c r="U11" s="89" t="s">
        <v>194</v>
      </c>
      <c r="V11" s="89" t="s">
        <v>195</v>
      </c>
      <c r="W11" s="89" t="s">
        <v>6</v>
      </c>
      <c r="X11" s="78"/>
      <c r="Y11" s="88" t="s">
        <v>187</v>
      </c>
      <c r="Z11" s="88" t="s">
        <v>205</v>
      </c>
      <c r="AA11" s="88" t="s">
        <v>204</v>
      </c>
      <c r="AG11" s="78"/>
      <c r="AH11" s="78"/>
      <c r="AI11" s="78"/>
      <c r="AJ11" s="78"/>
      <c r="AK11" s="78"/>
      <c r="AL11" s="78"/>
      <c r="AM11" s="78"/>
      <c r="AN11" s="78"/>
      <c r="AO11" s="78"/>
    </row>
    <row r="12" spans="1:41" hidden="1">
      <c r="A12" s="95" t="s">
        <v>82</v>
      </c>
      <c r="B12" s="222">
        <f>+'Balance calefacción'!$D10</f>
        <v>0.65</v>
      </c>
      <c r="C12" s="222">
        <f>+'Balance calefacción'!$D10</f>
        <v>0.65</v>
      </c>
      <c r="D12" s="222">
        <f>+'Balance calefacción'!$D10</f>
        <v>0.65</v>
      </c>
      <c r="E12" s="222">
        <f>+'Balance calefacción'!$D10</f>
        <v>0.65</v>
      </c>
      <c r="F12" s="222">
        <f>+'Balance calefacción'!$D10</f>
        <v>0.65</v>
      </c>
      <c r="G12" s="222">
        <f>+'Balance calefacción'!$D10</f>
        <v>0.65</v>
      </c>
      <c r="H12" s="222">
        <f>+'Balance calefacción'!$D10</f>
        <v>0.65</v>
      </c>
      <c r="I12" s="222">
        <f>+'Balance calefacción'!$D10</f>
        <v>0.65</v>
      </c>
      <c r="J12" s="222">
        <f>+'Balance calefacción'!D12</f>
        <v>0.4</v>
      </c>
      <c r="K12" s="127"/>
      <c r="L12" s="78"/>
      <c r="N12" s="88" t="s">
        <v>187</v>
      </c>
      <c r="O12" s="78"/>
      <c r="P12" s="78"/>
      <c r="Q12" s="78"/>
      <c r="R12" s="78"/>
      <c r="S12" s="78"/>
      <c r="T12" s="78"/>
      <c r="U12" s="78"/>
      <c r="V12" s="78"/>
      <c r="W12" s="78" t="s">
        <v>2</v>
      </c>
      <c r="X12" s="78"/>
      <c r="Y12" s="88">
        <v>0</v>
      </c>
      <c r="Z12" s="221">
        <v>0.222</v>
      </c>
      <c r="AA12" s="221">
        <f>+($S$4-$V$4)*Z12+$V$4</f>
        <v>21.975000000000001</v>
      </c>
      <c r="AG12" s="89"/>
      <c r="AH12" s="89"/>
      <c r="AI12" s="89"/>
      <c r="AJ12" s="89"/>
      <c r="AK12" s="78"/>
      <c r="AL12" s="88"/>
      <c r="AM12" s="88"/>
      <c r="AN12" s="88"/>
      <c r="AO12" s="78"/>
    </row>
    <row r="13" spans="1:41" hidden="1">
      <c r="A13" s="95"/>
      <c r="B13" s="96"/>
      <c r="C13" s="96"/>
      <c r="D13" s="96"/>
      <c r="E13" s="96"/>
      <c r="F13" s="96"/>
      <c r="G13" s="96"/>
      <c r="H13" s="96"/>
      <c r="I13" s="96"/>
      <c r="J13" s="96"/>
      <c r="K13" s="96"/>
      <c r="L13" s="78"/>
      <c r="N13" s="88">
        <v>0</v>
      </c>
      <c r="O13" s="220">
        <v>6</v>
      </c>
      <c r="P13" s="220">
        <v>4</v>
      </c>
      <c r="Q13" s="220">
        <v>5</v>
      </c>
      <c r="R13" s="220">
        <v>6</v>
      </c>
      <c r="S13" s="220">
        <v>13</v>
      </c>
      <c r="T13" s="220">
        <v>16</v>
      </c>
      <c r="U13" s="220">
        <v>12</v>
      </c>
      <c r="V13" s="220">
        <v>2</v>
      </c>
      <c r="W13" s="220">
        <v>3</v>
      </c>
      <c r="X13" s="78"/>
      <c r="Y13" s="88">
        <v>2</v>
      </c>
      <c r="Z13" s="220">
        <v>0.13900000000000001</v>
      </c>
      <c r="AA13" s="221">
        <f t="shared" ref="AA13:AA23" si="1">+($S$4-$V$4)*Z13+$V$4</f>
        <v>20.937500000000004</v>
      </c>
      <c r="AG13" s="78"/>
      <c r="AH13" s="78"/>
      <c r="AI13" s="78"/>
      <c r="AJ13" s="78"/>
      <c r="AK13" s="78"/>
      <c r="AL13" s="88"/>
      <c r="AM13" s="88"/>
      <c r="AN13" s="88"/>
      <c r="AO13" s="78"/>
    </row>
    <row r="14" spans="1:41" hidden="1">
      <c r="A14" s="95" t="s">
        <v>530</v>
      </c>
      <c r="B14" s="96"/>
      <c r="C14" s="96"/>
      <c r="D14" s="96"/>
      <c r="E14" s="96"/>
      <c r="F14" s="95" t="s">
        <v>91</v>
      </c>
      <c r="G14" s="96"/>
      <c r="H14" s="96"/>
      <c r="I14" s="96"/>
      <c r="J14" s="96"/>
      <c r="K14" s="96"/>
      <c r="L14" s="78"/>
      <c r="N14" s="88">
        <v>2</v>
      </c>
      <c r="O14" s="220">
        <v>5</v>
      </c>
      <c r="P14" s="220">
        <v>3</v>
      </c>
      <c r="Q14" s="220">
        <v>4</v>
      </c>
      <c r="R14" s="220">
        <v>5</v>
      </c>
      <c r="S14" s="220">
        <v>9</v>
      </c>
      <c r="T14" s="220">
        <v>12</v>
      </c>
      <c r="U14" s="220">
        <v>2</v>
      </c>
      <c r="V14" s="220">
        <v>2</v>
      </c>
      <c r="W14" s="220">
        <v>3</v>
      </c>
      <c r="X14" s="78"/>
      <c r="Y14" s="88">
        <v>4</v>
      </c>
      <c r="Z14" s="220">
        <v>5.6000000000000001E-2</v>
      </c>
      <c r="AA14" s="221">
        <f t="shared" si="1"/>
        <v>19.900000000000002</v>
      </c>
      <c r="AG14" s="78"/>
      <c r="AH14" s="78"/>
      <c r="AI14" s="78"/>
      <c r="AJ14" s="78"/>
      <c r="AK14" s="78"/>
      <c r="AL14" s="88"/>
      <c r="AM14" s="78"/>
      <c r="AN14" s="88"/>
      <c r="AO14" s="78"/>
    </row>
    <row r="15" spans="1:41" hidden="1">
      <c r="A15" s="95"/>
      <c r="B15" s="96"/>
      <c r="C15" s="96"/>
      <c r="D15" s="96"/>
      <c r="E15" s="96"/>
      <c r="F15" s="96"/>
      <c r="G15" s="96"/>
      <c r="H15" s="96"/>
      <c r="I15" s="96"/>
      <c r="J15" s="95" t="s">
        <v>0</v>
      </c>
      <c r="K15" s="96"/>
      <c r="L15" s="78"/>
      <c r="N15" s="88">
        <v>4</v>
      </c>
      <c r="O15" s="220">
        <v>4</v>
      </c>
      <c r="P15" s="220">
        <v>3</v>
      </c>
      <c r="Q15" s="220">
        <v>3</v>
      </c>
      <c r="R15" s="220">
        <v>4</v>
      </c>
      <c r="S15" s="220">
        <v>5</v>
      </c>
      <c r="T15" s="220">
        <v>8</v>
      </c>
      <c r="U15" s="220">
        <v>2</v>
      </c>
      <c r="V15" s="220">
        <v>2</v>
      </c>
      <c r="W15" s="220">
        <v>3</v>
      </c>
      <c r="X15" s="78"/>
      <c r="Y15" s="88">
        <v>6</v>
      </c>
      <c r="Z15" s="220">
        <v>0</v>
      </c>
      <c r="AA15" s="221">
        <f t="shared" si="1"/>
        <v>19.200000000000003</v>
      </c>
      <c r="AG15" s="78"/>
      <c r="AH15" s="78"/>
      <c r="AI15" s="78"/>
      <c r="AJ15" s="78"/>
      <c r="AK15" s="78"/>
      <c r="AL15" s="88"/>
      <c r="AM15" s="78"/>
      <c r="AN15" s="88"/>
      <c r="AO15" s="78"/>
    </row>
    <row r="16" spans="1:41" hidden="1">
      <c r="A16" s="95" t="s">
        <v>183</v>
      </c>
      <c r="B16" s="97" t="s">
        <v>188</v>
      </c>
      <c r="C16" s="97" t="s">
        <v>189</v>
      </c>
      <c r="D16" s="97" t="s">
        <v>190</v>
      </c>
      <c r="E16" s="97" t="s">
        <v>191</v>
      </c>
      <c r="F16" s="97" t="s">
        <v>192</v>
      </c>
      <c r="G16" s="97" t="s">
        <v>193</v>
      </c>
      <c r="H16" s="97" t="s">
        <v>194</v>
      </c>
      <c r="I16" s="97" t="s">
        <v>195</v>
      </c>
      <c r="J16" s="95" t="s">
        <v>392</v>
      </c>
      <c r="K16" s="97" t="s">
        <v>6</v>
      </c>
      <c r="L16" s="78"/>
      <c r="N16" s="88">
        <v>6</v>
      </c>
      <c r="O16" s="220">
        <v>4</v>
      </c>
      <c r="P16" s="220">
        <v>5</v>
      </c>
      <c r="Q16" s="220">
        <v>3</v>
      </c>
      <c r="R16" s="220">
        <v>3</v>
      </c>
      <c r="S16" s="220">
        <v>4</v>
      </c>
      <c r="T16" s="220">
        <v>6</v>
      </c>
      <c r="U16" s="220">
        <v>5</v>
      </c>
      <c r="V16" s="220">
        <v>2</v>
      </c>
      <c r="W16" s="220">
        <v>10</v>
      </c>
      <c r="X16" s="78"/>
      <c r="Y16" s="88">
        <v>8</v>
      </c>
      <c r="Z16" s="220">
        <v>0.111</v>
      </c>
      <c r="AA16" s="221">
        <f t="shared" si="1"/>
        <v>20.587500000000002</v>
      </c>
      <c r="AG16" s="78"/>
      <c r="AH16" s="78"/>
      <c r="AI16" s="78"/>
      <c r="AJ16" s="78"/>
      <c r="AK16" s="78"/>
      <c r="AL16" s="88"/>
      <c r="AM16" s="78"/>
      <c r="AN16" s="88"/>
      <c r="AO16" s="78"/>
    </row>
    <row r="17" spans="1:41" hidden="1">
      <c r="A17" s="95" t="s">
        <v>187</v>
      </c>
      <c r="B17" s="127"/>
      <c r="C17" s="127"/>
      <c r="D17" s="127"/>
      <c r="E17" s="127"/>
      <c r="F17" s="127"/>
      <c r="G17" s="127"/>
      <c r="H17" s="127"/>
      <c r="I17" s="127"/>
      <c r="J17" s="127"/>
      <c r="K17" s="127" t="s">
        <v>2</v>
      </c>
      <c r="L17" s="78"/>
      <c r="N17" s="88">
        <v>8</v>
      </c>
      <c r="O17" s="220">
        <v>5</v>
      </c>
      <c r="P17" s="220">
        <v>6</v>
      </c>
      <c r="Q17" s="220">
        <v>6</v>
      </c>
      <c r="R17" s="220">
        <v>5</v>
      </c>
      <c r="S17" s="220">
        <v>3</v>
      </c>
      <c r="T17" s="220">
        <v>4</v>
      </c>
      <c r="U17" s="220">
        <v>5</v>
      </c>
      <c r="V17" s="220">
        <v>2</v>
      </c>
      <c r="W17" s="220">
        <v>10</v>
      </c>
      <c r="X17" s="78"/>
      <c r="Y17" s="88">
        <v>10</v>
      </c>
      <c r="Z17" s="220">
        <v>0.58299999999999996</v>
      </c>
      <c r="AA17" s="221">
        <f t="shared" si="1"/>
        <v>26.487500000000004</v>
      </c>
      <c r="AG17" s="78"/>
      <c r="AH17" s="78"/>
      <c r="AI17" s="78"/>
      <c r="AJ17" s="78"/>
      <c r="AK17" s="78"/>
      <c r="AL17" s="88"/>
      <c r="AM17" s="78"/>
      <c r="AN17" s="88"/>
      <c r="AO17" s="78"/>
    </row>
    <row r="18" spans="1:41" hidden="1">
      <c r="A18" s="95">
        <v>0</v>
      </c>
      <c r="B18" s="223">
        <f t="shared" ref="B18:B29" si="2">+B$11*O13*B$12</f>
        <v>0</v>
      </c>
      <c r="C18" s="223">
        <f t="shared" ref="C18:C29" si="3">+C$11*P13*C$12</f>
        <v>24.257999999999996</v>
      </c>
      <c r="D18" s="223">
        <f t="shared" ref="D18:D29" si="4">+D$11*Q13*D$12</f>
        <v>0</v>
      </c>
      <c r="E18" s="223">
        <f t="shared" ref="E18:E29" si="5">+E$11*R13*E$12</f>
        <v>61.425000000000004</v>
      </c>
      <c r="F18" s="223">
        <f t="shared" ref="F18:F29" si="6">+F$11*S13*F$12</f>
        <v>0</v>
      </c>
      <c r="G18" s="223">
        <f>+G$11*T13*G$12</f>
        <v>302.64</v>
      </c>
      <c r="H18" s="223">
        <f t="shared" ref="H18:H29" si="7">+H$11*U13*H$12</f>
        <v>0</v>
      </c>
      <c r="I18" s="223">
        <f t="shared" ref="I18:I29" si="8">+I$11*V13*I$12</f>
        <v>36.257000000000005</v>
      </c>
      <c r="J18" s="223">
        <f>SUM(B18:I18)</f>
        <v>424.58</v>
      </c>
      <c r="K18" s="223">
        <f t="shared" ref="K18:K29" si="9">+J$11*W13*J$12</f>
        <v>130.94999999999999</v>
      </c>
      <c r="L18" s="78"/>
      <c r="N18" s="88">
        <v>10</v>
      </c>
      <c r="O18" s="220">
        <v>5</v>
      </c>
      <c r="P18" s="220">
        <v>10</v>
      </c>
      <c r="Q18" s="220">
        <v>6</v>
      </c>
      <c r="R18" s="220">
        <v>5</v>
      </c>
      <c r="S18" s="220">
        <v>6</v>
      </c>
      <c r="T18" s="220">
        <v>6</v>
      </c>
      <c r="U18" s="220">
        <v>5</v>
      </c>
      <c r="V18" s="220">
        <v>2</v>
      </c>
      <c r="W18" s="220">
        <v>10</v>
      </c>
      <c r="X18" s="78"/>
      <c r="Y18" s="88">
        <v>12</v>
      </c>
      <c r="Z18" s="220">
        <v>0.86099999999999999</v>
      </c>
      <c r="AA18" s="221">
        <f t="shared" si="1"/>
        <v>29.962500000000002</v>
      </c>
      <c r="AG18" s="78"/>
      <c r="AH18" s="78"/>
      <c r="AI18" s="78"/>
      <c r="AJ18" s="78"/>
      <c r="AK18" s="78"/>
      <c r="AL18" s="88"/>
      <c r="AM18" s="78"/>
      <c r="AN18" s="88"/>
      <c r="AO18" s="78"/>
    </row>
    <row r="19" spans="1:41" hidden="1">
      <c r="A19" s="95">
        <v>2</v>
      </c>
      <c r="B19" s="223">
        <f t="shared" si="2"/>
        <v>0</v>
      </c>
      <c r="C19" s="223">
        <f t="shared" si="3"/>
        <v>18.193499999999997</v>
      </c>
      <c r="D19" s="223">
        <f t="shared" si="4"/>
        <v>0</v>
      </c>
      <c r="E19" s="223">
        <f t="shared" si="5"/>
        <v>51.1875</v>
      </c>
      <c r="F19" s="223">
        <f t="shared" si="6"/>
        <v>0</v>
      </c>
      <c r="G19" s="223">
        <f t="shared" ref="G19:G29" si="10">+G$11*T14*G$12</f>
        <v>226.98</v>
      </c>
      <c r="H19" s="223">
        <f t="shared" si="7"/>
        <v>0</v>
      </c>
      <c r="I19" s="223">
        <f t="shared" si="8"/>
        <v>36.257000000000005</v>
      </c>
      <c r="J19" s="223">
        <f t="shared" ref="J19:J29" si="11">SUM(B19:I19)</f>
        <v>332.61799999999999</v>
      </c>
      <c r="K19" s="223">
        <f t="shared" si="9"/>
        <v>130.94999999999999</v>
      </c>
      <c r="L19" s="78"/>
      <c r="N19" s="88">
        <v>12</v>
      </c>
      <c r="O19" s="220">
        <v>13</v>
      </c>
      <c r="P19" s="220">
        <v>16</v>
      </c>
      <c r="Q19" s="220">
        <v>11</v>
      </c>
      <c r="R19" s="220">
        <v>5</v>
      </c>
      <c r="S19" s="220">
        <v>6</v>
      </c>
      <c r="T19" s="220">
        <v>6</v>
      </c>
      <c r="U19" s="220">
        <v>5</v>
      </c>
      <c r="V19" s="220">
        <v>2</v>
      </c>
      <c r="W19" s="220">
        <v>11</v>
      </c>
      <c r="X19" s="78"/>
      <c r="Y19" s="88">
        <v>14</v>
      </c>
      <c r="Z19" s="220">
        <v>1</v>
      </c>
      <c r="AA19" s="221">
        <f t="shared" si="1"/>
        <v>31.700000000000003</v>
      </c>
      <c r="AG19" s="78"/>
      <c r="AH19" s="78"/>
      <c r="AI19" s="78"/>
      <c r="AJ19" s="78"/>
      <c r="AK19" s="78"/>
      <c r="AL19" s="88"/>
      <c r="AM19" s="78"/>
      <c r="AN19" s="88"/>
      <c r="AO19" s="78"/>
    </row>
    <row r="20" spans="1:41" hidden="1">
      <c r="A20" s="95">
        <v>4</v>
      </c>
      <c r="B20" s="223">
        <f t="shared" si="2"/>
        <v>0</v>
      </c>
      <c r="C20" s="223">
        <f t="shared" si="3"/>
        <v>18.193499999999997</v>
      </c>
      <c r="D20" s="223">
        <f t="shared" si="4"/>
        <v>0</v>
      </c>
      <c r="E20" s="223">
        <f t="shared" si="5"/>
        <v>40.950000000000003</v>
      </c>
      <c r="F20" s="223">
        <f t="shared" si="6"/>
        <v>0</v>
      </c>
      <c r="G20" s="223">
        <f t="shared" si="10"/>
        <v>151.32</v>
      </c>
      <c r="H20" s="223">
        <f t="shared" si="7"/>
        <v>0</v>
      </c>
      <c r="I20" s="223">
        <f t="shared" si="8"/>
        <v>36.257000000000005</v>
      </c>
      <c r="J20" s="223">
        <f t="shared" si="11"/>
        <v>246.72050000000002</v>
      </c>
      <c r="K20" s="223">
        <f t="shared" si="9"/>
        <v>130.94999999999999</v>
      </c>
      <c r="L20" s="78"/>
      <c r="N20" s="88">
        <v>14</v>
      </c>
      <c r="O20" s="220">
        <v>10</v>
      </c>
      <c r="P20" s="220">
        <v>16</v>
      </c>
      <c r="Q20" s="220">
        <v>12</v>
      </c>
      <c r="R20" s="220">
        <v>9</v>
      </c>
      <c r="S20" s="220">
        <v>7</v>
      </c>
      <c r="T20" s="220">
        <v>7</v>
      </c>
      <c r="U20" s="220">
        <v>5</v>
      </c>
      <c r="V20" s="220">
        <v>4</v>
      </c>
      <c r="W20" s="220">
        <v>17</v>
      </c>
      <c r="X20" s="78"/>
      <c r="Y20" s="88">
        <v>16</v>
      </c>
      <c r="Z20" s="220">
        <v>0.91700000000000004</v>
      </c>
      <c r="AA20" s="221">
        <f t="shared" si="1"/>
        <v>30.662500000000001</v>
      </c>
      <c r="AG20" s="78"/>
      <c r="AH20" s="78"/>
      <c r="AI20" s="78"/>
      <c r="AJ20" s="78"/>
      <c r="AK20" s="78"/>
      <c r="AL20" s="88"/>
      <c r="AM20" s="78"/>
      <c r="AN20" s="88"/>
      <c r="AO20" s="78"/>
    </row>
    <row r="21" spans="1:41" hidden="1">
      <c r="A21" s="95">
        <v>6</v>
      </c>
      <c r="B21" s="223">
        <f t="shared" si="2"/>
        <v>0</v>
      </c>
      <c r="C21" s="223">
        <f t="shared" si="3"/>
        <v>30.322499999999994</v>
      </c>
      <c r="D21" s="223">
        <f t="shared" si="4"/>
        <v>0</v>
      </c>
      <c r="E21" s="223">
        <f t="shared" si="5"/>
        <v>30.712500000000002</v>
      </c>
      <c r="F21" s="223">
        <f t="shared" si="6"/>
        <v>0</v>
      </c>
      <c r="G21" s="223">
        <f t="shared" si="10"/>
        <v>113.49</v>
      </c>
      <c r="H21" s="223">
        <f t="shared" si="7"/>
        <v>0</v>
      </c>
      <c r="I21" s="223">
        <f t="shared" si="8"/>
        <v>36.257000000000005</v>
      </c>
      <c r="J21" s="223">
        <f t="shared" si="11"/>
        <v>210.78199999999998</v>
      </c>
      <c r="K21" s="223">
        <f t="shared" si="9"/>
        <v>436.49999999999994</v>
      </c>
      <c r="L21" s="78"/>
      <c r="N21" s="88">
        <v>16</v>
      </c>
      <c r="O21" s="220">
        <v>9</v>
      </c>
      <c r="P21" s="220">
        <v>12</v>
      </c>
      <c r="Q21" s="220">
        <v>12</v>
      </c>
      <c r="R21" s="220">
        <v>12</v>
      </c>
      <c r="S21" s="220">
        <v>10</v>
      </c>
      <c r="T21" s="220">
        <v>9</v>
      </c>
      <c r="U21" s="220">
        <v>6</v>
      </c>
      <c r="V21" s="220">
        <v>5</v>
      </c>
      <c r="W21" s="220">
        <v>20</v>
      </c>
      <c r="X21" s="78"/>
      <c r="Y21" s="88">
        <v>18</v>
      </c>
      <c r="Z21" s="220">
        <v>0.69399999999999995</v>
      </c>
      <c r="AA21" s="221">
        <f t="shared" si="1"/>
        <v>27.875</v>
      </c>
      <c r="AG21" s="78"/>
      <c r="AH21" s="78"/>
      <c r="AI21" s="78"/>
      <c r="AJ21" s="78"/>
      <c r="AK21" s="78"/>
      <c r="AL21" s="88"/>
      <c r="AM21" s="78"/>
      <c r="AN21" s="88"/>
      <c r="AO21" s="78"/>
    </row>
    <row r="22" spans="1:41" hidden="1">
      <c r="A22" s="95">
        <v>8</v>
      </c>
      <c r="B22" s="223">
        <f t="shared" si="2"/>
        <v>0</v>
      </c>
      <c r="C22" s="223">
        <f t="shared" si="3"/>
        <v>36.386999999999993</v>
      </c>
      <c r="D22" s="223">
        <f t="shared" si="4"/>
        <v>0</v>
      </c>
      <c r="E22" s="223">
        <f t="shared" si="5"/>
        <v>51.1875</v>
      </c>
      <c r="F22" s="223">
        <f t="shared" si="6"/>
        <v>0</v>
      </c>
      <c r="G22" s="223">
        <f t="shared" si="10"/>
        <v>75.66</v>
      </c>
      <c r="H22" s="223">
        <f t="shared" si="7"/>
        <v>0</v>
      </c>
      <c r="I22" s="223">
        <f t="shared" si="8"/>
        <v>36.257000000000005</v>
      </c>
      <c r="J22" s="223">
        <f t="shared" si="11"/>
        <v>199.4915</v>
      </c>
      <c r="K22" s="223">
        <f t="shared" si="9"/>
        <v>436.49999999999994</v>
      </c>
      <c r="L22" s="78"/>
      <c r="N22" s="88">
        <v>18</v>
      </c>
      <c r="O22" s="220">
        <v>9</v>
      </c>
      <c r="P22" s="220">
        <v>10</v>
      </c>
      <c r="Q22" s="220">
        <v>10</v>
      </c>
      <c r="R22" s="220">
        <v>12</v>
      </c>
      <c r="S22" s="220">
        <v>15</v>
      </c>
      <c r="T22" s="220">
        <v>14</v>
      </c>
      <c r="U22" s="220">
        <v>9</v>
      </c>
      <c r="V22" s="220">
        <v>5</v>
      </c>
      <c r="W22" s="220">
        <v>23</v>
      </c>
      <c r="X22" s="78"/>
      <c r="Y22" s="88">
        <v>20</v>
      </c>
      <c r="Z22" s="220">
        <v>0.44400000000000001</v>
      </c>
      <c r="AA22" s="221">
        <f t="shared" si="1"/>
        <v>24.750000000000004</v>
      </c>
      <c r="AG22" s="78"/>
      <c r="AH22" s="78"/>
      <c r="AI22" s="78"/>
      <c r="AJ22" s="78"/>
      <c r="AK22" s="78"/>
      <c r="AL22" s="88"/>
      <c r="AM22" s="78"/>
      <c r="AN22" s="88"/>
      <c r="AO22" s="78"/>
    </row>
    <row r="23" spans="1:41" hidden="1">
      <c r="A23" s="95">
        <v>10</v>
      </c>
      <c r="B23" s="223">
        <f t="shared" si="2"/>
        <v>0</v>
      </c>
      <c r="C23" s="223">
        <f t="shared" si="3"/>
        <v>60.644999999999989</v>
      </c>
      <c r="D23" s="223">
        <f t="shared" si="4"/>
        <v>0</v>
      </c>
      <c r="E23" s="223">
        <f t="shared" si="5"/>
        <v>51.1875</v>
      </c>
      <c r="F23" s="223">
        <f t="shared" si="6"/>
        <v>0</v>
      </c>
      <c r="G23" s="223">
        <f t="shared" si="10"/>
        <v>113.49</v>
      </c>
      <c r="H23" s="223">
        <f t="shared" si="7"/>
        <v>0</v>
      </c>
      <c r="I23" s="223">
        <f t="shared" si="8"/>
        <v>36.257000000000005</v>
      </c>
      <c r="J23" s="223">
        <f t="shared" si="11"/>
        <v>261.5795</v>
      </c>
      <c r="K23" s="223">
        <f t="shared" si="9"/>
        <v>436.49999999999994</v>
      </c>
      <c r="L23" s="78"/>
      <c r="N23" s="88">
        <v>20</v>
      </c>
      <c r="O23" s="220">
        <v>9</v>
      </c>
      <c r="P23" s="220">
        <v>10</v>
      </c>
      <c r="Q23" s="220">
        <v>9</v>
      </c>
      <c r="R23" s="220">
        <v>10</v>
      </c>
      <c r="S23" s="220">
        <v>16</v>
      </c>
      <c r="T23" s="220">
        <v>18</v>
      </c>
      <c r="U23" s="220">
        <v>14</v>
      </c>
      <c r="V23" s="220">
        <v>7</v>
      </c>
      <c r="W23" s="220">
        <v>22</v>
      </c>
      <c r="X23" s="78"/>
      <c r="Y23" s="88">
        <v>22</v>
      </c>
      <c r="Z23" s="220">
        <v>0.309</v>
      </c>
      <c r="AA23" s="221">
        <f t="shared" si="1"/>
        <v>23.062500000000004</v>
      </c>
      <c r="AG23" s="78"/>
      <c r="AH23" s="78"/>
      <c r="AI23" s="78"/>
      <c r="AJ23" s="78"/>
      <c r="AK23" s="78"/>
      <c r="AL23" s="88"/>
      <c r="AM23" s="78"/>
      <c r="AN23" s="88"/>
      <c r="AO23" s="78"/>
    </row>
    <row r="24" spans="1:41" hidden="1">
      <c r="A24" s="95">
        <v>12</v>
      </c>
      <c r="B24" s="223">
        <f t="shared" si="2"/>
        <v>0</v>
      </c>
      <c r="C24" s="223">
        <f t="shared" si="3"/>
        <v>97.031999999999982</v>
      </c>
      <c r="D24" s="223">
        <f t="shared" si="4"/>
        <v>0</v>
      </c>
      <c r="E24" s="223">
        <f t="shared" si="5"/>
        <v>51.1875</v>
      </c>
      <c r="F24" s="223">
        <f t="shared" si="6"/>
        <v>0</v>
      </c>
      <c r="G24" s="223">
        <f t="shared" si="10"/>
        <v>113.49</v>
      </c>
      <c r="H24" s="223">
        <f t="shared" si="7"/>
        <v>0</v>
      </c>
      <c r="I24" s="223">
        <f t="shared" si="8"/>
        <v>36.257000000000005</v>
      </c>
      <c r="J24" s="223">
        <f t="shared" si="11"/>
        <v>297.9665</v>
      </c>
      <c r="K24" s="223">
        <f t="shared" si="9"/>
        <v>480.14999999999992</v>
      </c>
      <c r="L24" s="78"/>
      <c r="N24" s="88">
        <v>22</v>
      </c>
      <c r="O24" s="220">
        <v>8</v>
      </c>
      <c r="P24" s="220">
        <v>9</v>
      </c>
      <c r="Q24" s="220">
        <v>8</v>
      </c>
      <c r="R24" s="220">
        <v>8</v>
      </c>
      <c r="S24" s="220">
        <v>15</v>
      </c>
      <c r="T24" s="220">
        <v>17</v>
      </c>
      <c r="U24" s="220">
        <v>15</v>
      </c>
      <c r="V24" s="220">
        <v>6</v>
      </c>
      <c r="W24" s="220">
        <v>21</v>
      </c>
      <c r="X24" s="78"/>
      <c r="Y24" s="78"/>
      <c r="Z24" s="78"/>
      <c r="AA24" s="78"/>
      <c r="AG24" s="78"/>
      <c r="AH24" s="78"/>
      <c r="AI24" s="78"/>
      <c r="AJ24" s="78"/>
      <c r="AK24" s="78"/>
      <c r="AL24" s="88"/>
      <c r="AM24" s="78"/>
      <c r="AN24" s="88"/>
      <c r="AO24" s="78"/>
    </row>
    <row r="25" spans="1:41" hidden="1">
      <c r="A25" s="95">
        <v>14</v>
      </c>
      <c r="B25" s="223">
        <f t="shared" si="2"/>
        <v>0</v>
      </c>
      <c r="C25" s="223">
        <f t="shared" si="3"/>
        <v>97.031999999999982</v>
      </c>
      <c r="D25" s="223">
        <f t="shared" si="4"/>
        <v>0</v>
      </c>
      <c r="E25" s="223">
        <f t="shared" si="5"/>
        <v>92.137500000000003</v>
      </c>
      <c r="F25" s="223">
        <f t="shared" si="6"/>
        <v>0</v>
      </c>
      <c r="G25" s="223">
        <f t="shared" si="10"/>
        <v>132.405</v>
      </c>
      <c r="H25" s="223">
        <f t="shared" si="7"/>
        <v>0</v>
      </c>
      <c r="I25" s="223">
        <f t="shared" si="8"/>
        <v>72.51400000000001</v>
      </c>
      <c r="J25" s="223">
        <f t="shared" si="11"/>
        <v>394.08849999999995</v>
      </c>
      <c r="K25" s="223">
        <f t="shared" si="9"/>
        <v>742.05</v>
      </c>
      <c r="L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  <c r="AG25" s="78"/>
      <c r="AH25" s="78"/>
      <c r="AI25" s="78"/>
      <c r="AJ25" s="78"/>
      <c r="AK25" s="78"/>
      <c r="AL25" s="78"/>
      <c r="AM25" s="78"/>
      <c r="AN25" s="78"/>
      <c r="AO25" s="78"/>
    </row>
    <row r="26" spans="1:41" hidden="1">
      <c r="A26" s="95">
        <v>16</v>
      </c>
      <c r="B26" s="223">
        <f t="shared" si="2"/>
        <v>0</v>
      </c>
      <c r="C26" s="223">
        <f t="shared" si="3"/>
        <v>72.773999999999987</v>
      </c>
      <c r="D26" s="223">
        <f t="shared" si="4"/>
        <v>0</v>
      </c>
      <c r="E26" s="223">
        <f t="shared" si="5"/>
        <v>122.85000000000001</v>
      </c>
      <c r="F26" s="223">
        <f t="shared" si="6"/>
        <v>0</v>
      </c>
      <c r="G26" s="223">
        <f t="shared" si="10"/>
        <v>170.23499999999999</v>
      </c>
      <c r="H26" s="223">
        <f t="shared" si="7"/>
        <v>0</v>
      </c>
      <c r="I26" s="223">
        <f t="shared" si="8"/>
        <v>90.642499999999998</v>
      </c>
      <c r="J26" s="223">
        <f t="shared" si="11"/>
        <v>456.50149999999996</v>
      </c>
      <c r="K26" s="223">
        <f t="shared" si="9"/>
        <v>872.99999999999989</v>
      </c>
      <c r="L26" s="78"/>
      <c r="M26" s="78"/>
      <c r="N26" s="78"/>
      <c r="O26" s="78"/>
      <c r="P26" s="78"/>
      <c r="Q26" s="78"/>
      <c r="R26" s="78"/>
      <c r="S26" s="78"/>
      <c r="T26" s="78"/>
      <c r="U26" s="78"/>
      <c r="V26" s="78"/>
      <c r="W26" s="78"/>
      <c r="X26" s="78"/>
      <c r="Y26" s="78"/>
      <c r="Z26" s="78"/>
      <c r="AA26" s="78"/>
      <c r="AG26" s="78"/>
      <c r="AH26" s="78"/>
      <c r="AI26" s="78"/>
      <c r="AJ26" s="78"/>
      <c r="AK26" s="78"/>
      <c r="AL26" s="78"/>
      <c r="AM26" s="78"/>
      <c r="AN26" s="78"/>
      <c r="AO26" s="78"/>
    </row>
    <row r="27" spans="1:41" hidden="1">
      <c r="A27" s="95">
        <v>18</v>
      </c>
      <c r="B27" s="223">
        <f t="shared" si="2"/>
        <v>0</v>
      </c>
      <c r="C27" s="223">
        <f t="shared" si="3"/>
        <v>60.644999999999989</v>
      </c>
      <c r="D27" s="223">
        <f t="shared" si="4"/>
        <v>0</v>
      </c>
      <c r="E27" s="223">
        <f t="shared" si="5"/>
        <v>122.85000000000001</v>
      </c>
      <c r="F27" s="223">
        <f t="shared" si="6"/>
        <v>0</v>
      </c>
      <c r="G27" s="223">
        <f t="shared" si="10"/>
        <v>264.81</v>
      </c>
      <c r="H27" s="223">
        <f t="shared" si="7"/>
        <v>0</v>
      </c>
      <c r="I27" s="223">
        <f t="shared" si="8"/>
        <v>90.642499999999998</v>
      </c>
      <c r="J27" s="223">
        <f t="shared" si="11"/>
        <v>538.94749999999999</v>
      </c>
      <c r="K27" s="223">
        <f t="shared" si="9"/>
        <v>1003.9499999999998</v>
      </c>
      <c r="L27" s="78"/>
      <c r="W27" s="78"/>
      <c r="X27" s="78"/>
      <c r="Y27" s="78"/>
      <c r="Z27" s="78"/>
      <c r="AA27" s="78"/>
      <c r="AG27" s="78"/>
      <c r="AH27" s="78"/>
      <c r="AI27" s="78"/>
      <c r="AJ27" s="78"/>
      <c r="AK27" s="78"/>
      <c r="AL27" s="78"/>
      <c r="AM27" s="78"/>
      <c r="AN27" s="78"/>
      <c r="AO27" s="78"/>
    </row>
    <row r="28" spans="1:41" hidden="1">
      <c r="A28" s="95">
        <v>20</v>
      </c>
      <c r="B28" s="223">
        <f t="shared" si="2"/>
        <v>0</v>
      </c>
      <c r="C28" s="223">
        <f t="shared" si="3"/>
        <v>60.644999999999989</v>
      </c>
      <c r="D28" s="223">
        <f t="shared" si="4"/>
        <v>0</v>
      </c>
      <c r="E28" s="223">
        <f t="shared" si="5"/>
        <v>102.375</v>
      </c>
      <c r="F28" s="223">
        <f t="shared" si="6"/>
        <v>0</v>
      </c>
      <c r="G28" s="223">
        <f t="shared" si="10"/>
        <v>340.46999999999997</v>
      </c>
      <c r="H28" s="223">
        <f t="shared" si="7"/>
        <v>0</v>
      </c>
      <c r="I28" s="223">
        <f t="shared" si="8"/>
        <v>126.89950000000002</v>
      </c>
      <c r="J28" s="223">
        <f t="shared" si="11"/>
        <v>630.3895</v>
      </c>
      <c r="K28" s="223">
        <f t="shared" si="9"/>
        <v>960.29999999999984</v>
      </c>
      <c r="L28" s="78"/>
      <c r="W28" s="78"/>
      <c r="X28" s="78"/>
      <c r="Y28" s="78"/>
      <c r="Z28" s="78"/>
      <c r="AA28" s="78"/>
      <c r="AG28" s="78"/>
      <c r="AH28" s="78"/>
      <c r="AI28" s="78"/>
      <c r="AJ28" s="78"/>
      <c r="AK28" s="78"/>
      <c r="AL28" s="78"/>
      <c r="AM28" s="78"/>
      <c r="AN28" s="78"/>
      <c r="AO28" s="78"/>
    </row>
    <row r="29" spans="1:41" hidden="1">
      <c r="A29" s="95">
        <v>22</v>
      </c>
      <c r="B29" s="223">
        <f t="shared" si="2"/>
        <v>0</v>
      </c>
      <c r="C29" s="223">
        <f t="shared" si="3"/>
        <v>54.580499999999994</v>
      </c>
      <c r="D29" s="223">
        <f t="shared" si="4"/>
        <v>0</v>
      </c>
      <c r="E29" s="223">
        <f t="shared" si="5"/>
        <v>81.900000000000006</v>
      </c>
      <c r="F29" s="223">
        <f t="shared" si="6"/>
        <v>0</v>
      </c>
      <c r="G29" s="223">
        <f t="shared" si="10"/>
        <v>321.55500000000001</v>
      </c>
      <c r="H29" s="223">
        <f t="shared" si="7"/>
        <v>0</v>
      </c>
      <c r="I29" s="223">
        <f t="shared" si="8"/>
        <v>108.771</v>
      </c>
      <c r="J29" s="223">
        <f t="shared" si="11"/>
        <v>566.80650000000003</v>
      </c>
      <c r="K29" s="223">
        <f t="shared" si="9"/>
        <v>916.64999999999986</v>
      </c>
      <c r="L29" s="78"/>
      <c r="W29" s="78"/>
      <c r="X29" s="78"/>
      <c r="Y29" s="78"/>
      <c r="Z29" s="78"/>
      <c r="AA29" s="78"/>
      <c r="AG29" s="78"/>
      <c r="AH29" s="78"/>
      <c r="AI29" s="78"/>
      <c r="AJ29" s="78"/>
      <c r="AK29" s="78"/>
      <c r="AL29" s="78"/>
      <c r="AM29" s="78"/>
      <c r="AN29" s="78"/>
      <c r="AO29" s="78"/>
    </row>
    <row r="30" spans="1:41" hidden="1">
      <c r="A30" s="95"/>
      <c r="B30" s="95"/>
      <c r="C30" s="95"/>
      <c r="D30" s="95"/>
      <c r="E30" s="95"/>
      <c r="F30" s="95"/>
      <c r="G30" s="95"/>
      <c r="H30" s="95"/>
      <c r="I30" s="95"/>
      <c r="J30" s="95"/>
      <c r="K30" s="95"/>
      <c r="L30" s="78"/>
      <c r="W30" s="78"/>
      <c r="X30" s="78"/>
      <c r="Y30" s="78"/>
      <c r="Z30" s="78"/>
      <c r="AA30" s="78"/>
      <c r="AG30" s="78"/>
      <c r="AH30" s="78"/>
      <c r="AI30" s="78"/>
      <c r="AJ30" s="78"/>
      <c r="AK30" s="78"/>
      <c r="AL30" s="78"/>
      <c r="AM30" s="78"/>
      <c r="AN30" s="78"/>
      <c r="AO30" s="78"/>
    </row>
    <row r="31" spans="1:41" hidden="1">
      <c r="A31" s="95"/>
      <c r="B31" s="95"/>
      <c r="C31" s="95"/>
      <c r="D31" s="95"/>
      <c r="E31" s="95"/>
      <c r="F31" s="95"/>
      <c r="G31" s="95"/>
      <c r="H31" s="95"/>
      <c r="I31" s="95"/>
      <c r="J31" s="95"/>
      <c r="K31" s="95"/>
      <c r="L31" s="78"/>
      <c r="W31" s="78"/>
      <c r="X31" s="78"/>
      <c r="Y31" s="78"/>
      <c r="Z31" s="78"/>
      <c r="AA31" s="78"/>
      <c r="AG31" s="89"/>
      <c r="AH31" s="89"/>
      <c r="AI31" s="89"/>
      <c r="AJ31" s="89"/>
      <c r="AK31" s="78"/>
      <c r="AL31" s="78"/>
      <c r="AM31" s="78"/>
      <c r="AN31" s="78"/>
      <c r="AO31" s="78"/>
    </row>
    <row r="32" spans="1:41" ht="14.25" hidden="1">
      <c r="A32" s="95" t="s">
        <v>531</v>
      </c>
      <c r="B32" s="95"/>
      <c r="C32" s="95"/>
      <c r="D32" s="95"/>
      <c r="E32" s="95"/>
      <c r="F32" s="95" t="s">
        <v>24</v>
      </c>
      <c r="G32" s="95"/>
      <c r="H32" s="95"/>
      <c r="I32" s="95"/>
      <c r="J32" s="95"/>
      <c r="K32" s="95"/>
      <c r="L32" s="78"/>
      <c r="W32" s="78"/>
      <c r="X32" s="78"/>
      <c r="Y32" s="78"/>
      <c r="Z32" s="78"/>
      <c r="AA32" s="78"/>
      <c r="AG32" s="88"/>
      <c r="AH32" s="88"/>
      <c r="AI32" s="88"/>
      <c r="AJ32" s="88"/>
      <c r="AK32" s="78"/>
      <c r="AL32" s="78"/>
      <c r="AM32" s="78"/>
      <c r="AN32" s="78"/>
      <c r="AO32" s="78"/>
    </row>
    <row r="33" spans="1:41" hidden="1">
      <c r="A33" s="95"/>
      <c r="B33" s="95"/>
      <c r="C33" s="95"/>
      <c r="D33" s="95"/>
      <c r="E33" s="95"/>
      <c r="F33" s="95"/>
      <c r="G33" s="95"/>
      <c r="H33" s="95"/>
      <c r="I33" s="95"/>
      <c r="J33" s="95"/>
      <c r="K33" s="95"/>
      <c r="L33" s="78"/>
      <c r="W33" s="78"/>
      <c r="X33" s="78"/>
      <c r="Y33" s="78"/>
      <c r="Z33" s="78"/>
      <c r="AA33" s="78"/>
      <c r="AG33" s="91"/>
      <c r="AH33" s="91"/>
      <c r="AI33" s="91"/>
      <c r="AJ33" s="91"/>
      <c r="AK33" s="78"/>
      <c r="AL33" s="78"/>
      <c r="AM33" s="78"/>
      <c r="AN33" s="78"/>
      <c r="AO33" s="78"/>
    </row>
    <row r="34" spans="1:41" hidden="1">
      <c r="A34" s="95" t="s">
        <v>183</v>
      </c>
      <c r="B34" s="97" t="s">
        <v>188</v>
      </c>
      <c r="C34" s="97" t="s">
        <v>189</v>
      </c>
      <c r="D34" s="97" t="s">
        <v>190</v>
      </c>
      <c r="E34" s="97" t="s">
        <v>191</v>
      </c>
      <c r="F34" s="97" t="s">
        <v>192</v>
      </c>
      <c r="G34" s="97" t="s">
        <v>193</v>
      </c>
      <c r="H34" s="97" t="s">
        <v>194</v>
      </c>
      <c r="I34" s="97" t="s">
        <v>195</v>
      </c>
      <c r="J34" s="97" t="s">
        <v>6</v>
      </c>
      <c r="K34" s="97"/>
      <c r="L34" s="78"/>
      <c r="W34" s="78"/>
      <c r="X34" s="78"/>
      <c r="Y34" s="78"/>
      <c r="Z34" s="78"/>
      <c r="AA34" s="78"/>
      <c r="AG34" s="91"/>
      <c r="AH34" s="91"/>
      <c r="AI34" s="91"/>
      <c r="AJ34" s="91"/>
      <c r="AK34" s="78"/>
      <c r="AL34" s="78"/>
      <c r="AM34" s="78"/>
      <c r="AN34" s="78"/>
      <c r="AO34" s="78"/>
    </row>
    <row r="35" spans="1:41" hidden="1">
      <c r="A35" s="95" t="s">
        <v>181</v>
      </c>
      <c r="B35" s="222">
        <f>+superficies!E11</f>
        <v>0</v>
      </c>
      <c r="C35" s="222">
        <f>+superficies!E10</f>
        <v>15</v>
      </c>
      <c r="D35" s="222">
        <f>+superficies!E9</f>
        <v>0</v>
      </c>
      <c r="E35" s="222">
        <f>+superficies!E8</f>
        <v>0</v>
      </c>
      <c r="F35" s="222">
        <f>+superficies!E15</f>
        <v>0</v>
      </c>
      <c r="G35" s="222">
        <f>+superficies!E14</f>
        <v>0</v>
      </c>
      <c r="H35" s="222">
        <f>+superficies!E13</f>
        <v>0</v>
      </c>
      <c r="I35" s="222">
        <f>+superficies!E12</f>
        <v>0</v>
      </c>
      <c r="J35" s="222">
        <f>+superficies!E18</f>
        <v>0</v>
      </c>
      <c r="K35" s="96"/>
      <c r="L35" s="78"/>
      <c r="W35" s="78"/>
      <c r="X35" s="78"/>
      <c r="Y35" s="78"/>
      <c r="Z35" s="78"/>
      <c r="AA35" s="78"/>
      <c r="AG35" s="91"/>
      <c r="AH35" s="91"/>
      <c r="AI35" s="91"/>
      <c r="AJ35" s="91"/>
      <c r="AK35" s="78"/>
      <c r="AL35" s="78"/>
      <c r="AM35" s="78"/>
      <c r="AN35" s="78"/>
      <c r="AO35" s="78"/>
    </row>
    <row r="36" spans="1:41" hidden="1">
      <c r="A36" s="95" t="s">
        <v>82</v>
      </c>
      <c r="B36" s="222">
        <v>0.65</v>
      </c>
      <c r="C36" s="222">
        <v>0.65</v>
      </c>
      <c r="D36" s="222">
        <v>0.65</v>
      </c>
      <c r="E36" s="222">
        <v>0.65</v>
      </c>
      <c r="F36" s="222">
        <v>0.65</v>
      </c>
      <c r="G36" s="222">
        <v>0.65</v>
      </c>
      <c r="H36" s="222">
        <v>0.65</v>
      </c>
      <c r="I36" s="222">
        <v>0.65</v>
      </c>
      <c r="J36" s="222">
        <f>+'Balance calefacción'!D13</f>
        <v>0.34</v>
      </c>
      <c r="K36" s="96"/>
      <c r="L36" s="78"/>
      <c r="W36" s="78"/>
      <c r="X36" s="78"/>
      <c r="Y36" s="78"/>
      <c r="Z36" s="78"/>
      <c r="AA36" s="78"/>
      <c r="AG36" s="91"/>
      <c r="AH36" s="91"/>
      <c r="AI36" s="91"/>
      <c r="AJ36" s="91"/>
      <c r="AK36" s="78"/>
      <c r="AL36" s="78"/>
      <c r="AM36" s="78"/>
      <c r="AN36" s="78"/>
      <c r="AO36" s="78"/>
    </row>
    <row r="37" spans="1:41" hidden="1">
      <c r="A37" s="95"/>
      <c r="B37" s="96"/>
      <c r="C37" s="96"/>
      <c r="D37" s="96"/>
      <c r="E37" s="96"/>
      <c r="F37" s="96"/>
      <c r="G37" s="96"/>
      <c r="H37" s="96"/>
      <c r="I37" s="96"/>
      <c r="J37" s="96"/>
      <c r="K37" s="96"/>
      <c r="L37" s="78"/>
      <c r="W37" s="78"/>
      <c r="X37" s="78"/>
      <c r="Y37" s="78"/>
      <c r="Z37" s="78"/>
      <c r="AA37" s="78"/>
      <c r="AG37" s="91"/>
      <c r="AH37" s="91"/>
      <c r="AI37" s="91"/>
      <c r="AJ37" s="91"/>
      <c r="AK37" s="78"/>
      <c r="AL37" s="78"/>
      <c r="AM37" s="78"/>
      <c r="AN37" s="78"/>
      <c r="AO37" s="78"/>
    </row>
    <row r="38" spans="1:41" hidden="1">
      <c r="A38" s="95" t="s">
        <v>532</v>
      </c>
      <c r="B38" s="96"/>
      <c r="C38" s="96"/>
      <c r="D38" s="96"/>
      <c r="E38" s="96"/>
      <c r="F38" s="95" t="s">
        <v>24</v>
      </c>
      <c r="G38" s="96"/>
      <c r="H38" s="96"/>
      <c r="I38" s="96"/>
      <c r="J38" s="96"/>
      <c r="K38" s="96"/>
      <c r="L38" s="78"/>
      <c r="W38" s="78"/>
      <c r="X38" s="78"/>
      <c r="Y38" s="78"/>
      <c r="Z38" s="78"/>
      <c r="AA38" s="78"/>
      <c r="AG38" s="91"/>
      <c r="AH38" s="91"/>
      <c r="AI38" s="91"/>
      <c r="AJ38" s="91"/>
      <c r="AK38" s="78"/>
      <c r="AL38" s="78"/>
      <c r="AM38" s="78"/>
      <c r="AN38" s="78"/>
      <c r="AO38" s="78"/>
    </row>
    <row r="39" spans="1:41" hidden="1">
      <c r="A39" s="95"/>
      <c r="B39" s="96"/>
      <c r="C39" s="96"/>
      <c r="D39" s="96"/>
      <c r="E39" s="96"/>
      <c r="F39" s="96"/>
      <c r="G39" s="96"/>
      <c r="H39" s="96"/>
      <c r="I39" s="96"/>
      <c r="J39" s="95" t="s">
        <v>0</v>
      </c>
      <c r="K39" s="96"/>
      <c r="L39" s="78"/>
      <c r="W39" s="78"/>
      <c r="X39" s="78"/>
      <c r="Y39" s="78"/>
      <c r="Z39" s="78"/>
      <c r="AA39" s="78"/>
      <c r="AG39" s="91"/>
      <c r="AH39" s="91"/>
      <c r="AI39" s="91"/>
      <c r="AJ39" s="91"/>
      <c r="AK39" s="78"/>
      <c r="AL39" s="78"/>
      <c r="AM39" s="78"/>
      <c r="AN39" s="78"/>
      <c r="AO39" s="78"/>
    </row>
    <row r="40" spans="1:41" hidden="1">
      <c r="A40" s="95" t="s">
        <v>183</v>
      </c>
      <c r="B40" s="97" t="s">
        <v>188</v>
      </c>
      <c r="C40" s="97" t="s">
        <v>189</v>
      </c>
      <c r="D40" s="97" t="s">
        <v>190</v>
      </c>
      <c r="E40" s="97" t="s">
        <v>191</v>
      </c>
      <c r="F40" s="97" t="s">
        <v>192</v>
      </c>
      <c r="G40" s="97" t="s">
        <v>193</v>
      </c>
      <c r="H40" s="97" t="s">
        <v>194</v>
      </c>
      <c r="I40" s="97" t="s">
        <v>195</v>
      </c>
      <c r="J40" s="95" t="s">
        <v>393</v>
      </c>
      <c r="K40" s="97" t="s">
        <v>6</v>
      </c>
      <c r="L40" s="78"/>
      <c r="W40" s="78"/>
      <c r="X40" s="78"/>
      <c r="Y40" s="78"/>
      <c r="Z40" s="78"/>
      <c r="AA40" s="78"/>
      <c r="AG40" s="91"/>
      <c r="AH40" s="91"/>
      <c r="AI40" s="91"/>
      <c r="AJ40" s="91"/>
      <c r="AK40" s="78"/>
      <c r="AL40" s="78"/>
      <c r="AM40" s="78"/>
      <c r="AN40" s="78"/>
      <c r="AO40" s="78"/>
    </row>
    <row r="41" spans="1:41" hidden="1">
      <c r="A41" s="95" t="s">
        <v>187</v>
      </c>
      <c r="B41" s="96"/>
      <c r="C41" s="96"/>
      <c r="D41" s="96"/>
      <c r="E41" s="96"/>
      <c r="F41" s="96"/>
      <c r="G41" s="96"/>
      <c r="H41" s="96"/>
      <c r="I41" s="96"/>
      <c r="J41" s="96"/>
      <c r="K41" s="96" t="s">
        <v>2</v>
      </c>
      <c r="L41" s="78"/>
      <c r="W41" s="78"/>
      <c r="X41" s="78"/>
      <c r="Y41" s="78"/>
      <c r="Z41" s="78"/>
      <c r="AA41" s="78"/>
      <c r="AG41" s="91"/>
      <c r="AH41" s="91"/>
      <c r="AI41" s="91"/>
      <c r="AJ41" s="91"/>
      <c r="AK41" s="78"/>
      <c r="AL41" s="78"/>
      <c r="AM41" s="78"/>
      <c r="AN41" s="78"/>
      <c r="AO41" s="78"/>
    </row>
    <row r="42" spans="1:41" hidden="1">
      <c r="A42" s="95">
        <v>0</v>
      </c>
      <c r="B42" s="223">
        <f t="shared" ref="B42:B53" si="12">+B$35*O13*B$36</f>
        <v>0</v>
      </c>
      <c r="C42" s="223">
        <f t="shared" ref="C42:C53" si="13">+C$35*P13*C$36</f>
        <v>39</v>
      </c>
      <c r="D42" s="223">
        <f t="shared" ref="D42:D53" si="14">+D$35*Q13*D$36</f>
        <v>0</v>
      </c>
      <c r="E42" s="223">
        <f t="shared" ref="E42:E53" si="15">+E$35*R13*E$36</f>
        <v>0</v>
      </c>
      <c r="F42" s="223">
        <f t="shared" ref="F42:F53" si="16">+F$35*S13*F$36</f>
        <v>0</v>
      </c>
      <c r="G42" s="223">
        <f t="shared" ref="G42:G53" si="17">+G$35*T13*G$36</f>
        <v>0</v>
      </c>
      <c r="H42" s="223">
        <f t="shared" ref="H42:H53" si="18">+H$35*U13*H$36</f>
        <v>0</v>
      </c>
      <c r="I42" s="223">
        <f t="shared" ref="I42:I53" si="19">+I$35*V13*I$36</f>
        <v>0</v>
      </c>
      <c r="J42" s="223">
        <f t="shared" ref="J42:J53" si="20">SUM(B42:I42)</f>
        <v>39</v>
      </c>
      <c r="K42" s="223">
        <f t="shared" ref="K42:K53" si="21">+J$35*W13*J$36</f>
        <v>0</v>
      </c>
      <c r="L42" s="78"/>
      <c r="W42" s="78"/>
      <c r="X42" s="78"/>
      <c r="Y42" s="78"/>
      <c r="Z42" s="78"/>
      <c r="AA42" s="78"/>
      <c r="AG42" s="91"/>
      <c r="AH42" s="91"/>
      <c r="AI42" s="91"/>
      <c r="AJ42" s="91"/>
      <c r="AK42" s="78"/>
      <c r="AL42" s="78"/>
      <c r="AM42" s="78"/>
      <c r="AN42" s="78"/>
      <c r="AO42" s="78"/>
    </row>
    <row r="43" spans="1:41" hidden="1">
      <c r="A43" s="95">
        <v>2</v>
      </c>
      <c r="B43" s="223">
        <f t="shared" si="12"/>
        <v>0</v>
      </c>
      <c r="C43" s="223">
        <f t="shared" si="13"/>
        <v>29.25</v>
      </c>
      <c r="D43" s="223">
        <f t="shared" si="14"/>
        <v>0</v>
      </c>
      <c r="E43" s="223">
        <f t="shared" si="15"/>
        <v>0</v>
      </c>
      <c r="F43" s="223">
        <f t="shared" si="16"/>
        <v>0</v>
      </c>
      <c r="G43" s="223">
        <f t="shared" si="17"/>
        <v>0</v>
      </c>
      <c r="H43" s="223">
        <f t="shared" si="18"/>
        <v>0</v>
      </c>
      <c r="I43" s="223">
        <f t="shared" si="19"/>
        <v>0</v>
      </c>
      <c r="J43" s="223">
        <f t="shared" si="20"/>
        <v>29.25</v>
      </c>
      <c r="K43" s="223">
        <f t="shared" si="21"/>
        <v>0</v>
      </c>
      <c r="L43" s="78"/>
      <c r="W43" s="78"/>
      <c r="X43" s="78"/>
      <c r="Y43" s="78"/>
      <c r="Z43" s="78"/>
      <c r="AA43" s="78"/>
      <c r="AG43" s="91"/>
      <c r="AH43" s="91"/>
      <c r="AI43" s="91"/>
      <c r="AJ43" s="91"/>
      <c r="AK43" s="78"/>
      <c r="AL43" s="78"/>
      <c r="AM43" s="78"/>
      <c r="AN43" s="78"/>
      <c r="AO43" s="78"/>
    </row>
    <row r="44" spans="1:41" hidden="1">
      <c r="A44" s="95">
        <v>4</v>
      </c>
      <c r="B44" s="223">
        <f t="shared" si="12"/>
        <v>0</v>
      </c>
      <c r="C44" s="223">
        <f t="shared" si="13"/>
        <v>29.25</v>
      </c>
      <c r="D44" s="223">
        <f t="shared" si="14"/>
        <v>0</v>
      </c>
      <c r="E44" s="223">
        <f t="shared" si="15"/>
        <v>0</v>
      </c>
      <c r="F44" s="223">
        <f t="shared" si="16"/>
        <v>0</v>
      </c>
      <c r="G44" s="223">
        <f t="shared" si="17"/>
        <v>0</v>
      </c>
      <c r="H44" s="223">
        <f t="shared" si="18"/>
        <v>0</v>
      </c>
      <c r="I44" s="223">
        <f t="shared" si="19"/>
        <v>0</v>
      </c>
      <c r="J44" s="223">
        <f t="shared" si="20"/>
        <v>29.25</v>
      </c>
      <c r="K44" s="223">
        <f t="shared" si="21"/>
        <v>0</v>
      </c>
      <c r="L44" s="78"/>
      <c r="W44" s="78"/>
      <c r="X44" s="78"/>
      <c r="Y44" s="78"/>
      <c r="Z44" s="78"/>
      <c r="AA44" s="78"/>
      <c r="AG44" s="91"/>
      <c r="AH44" s="91"/>
      <c r="AI44" s="91"/>
      <c r="AJ44" s="91"/>
      <c r="AK44" s="78"/>
      <c r="AL44" s="78"/>
      <c r="AM44" s="78"/>
      <c r="AN44" s="78"/>
      <c r="AO44" s="78"/>
    </row>
    <row r="45" spans="1:41" hidden="1">
      <c r="A45" s="95">
        <v>6</v>
      </c>
      <c r="B45" s="223">
        <f t="shared" si="12"/>
        <v>0</v>
      </c>
      <c r="C45" s="223">
        <f t="shared" si="13"/>
        <v>48.75</v>
      </c>
      <c r="D45" s="223">
        <f t="shared" si="14"/>
        <v>0</v>
      </c>
      <c r="E45" s="223">
        <f t="shared" si="15"/>
        <v>0</v>
      </c>
      <c r="F45" s="223">
        <f t="shared" si="16"/>
        <v>0</v>
      </c>
      <c r="G45" s="223">
        <f t="shared" si="17"/>
        <v>0</v>
      </c>
      <c r="H45" s="223">
        <f t="shared" si="18"/>
        <v>0</v>
      </c>
      <c r="I45" s="223">
        <f t="shared" si="19"/>
        <v>0</v>
      </c>
      <c r="J45" s="223">
        <f t="shared" si="20"/>
        <v>48.75</v>
      </c>
      <c r="K45" s="223">
        <f t="shared" si="21"/>
        <v>0</v>
      </c>
      <c r="L45" s="78"/>
      <c r="W45" s="78"/>
      <c r="X45" s="78"/>
      <c r="Y45" s="78"/>
      <c r="Z45" s="78"/>
      <c r="AA45" s="78"/>
      <c r="AG45" s="78"/>
      <c r="AH45" s="78"/>
      <c r="AI45" s="78"/>
      <c r="AJ45" s="78"/>
      <c r="AK45" s="78"/>
      <c r="AL45" s="78"/>
      <c r="AM45" s="78"/>
      <c r="AN45" s="78"/>
      <c r="AO45" s="78"/>
    </row>
    <row r="46" spans="1:41" hidden="1">
      <c r="A46" s="95">
        <v>8</v>
      </c>
      <c r="B46" s="223">
        <f t="shared" si="12"/>
        <v>0</v>
      </c>
      <c r="C46" s="223">
        <f t="shared" si="13"/>
        <v>58.5</v>
      </c>
      <c r="D46" s="223">
        <f t="shared" si="14"/>
        <v>0</v>
      </c>
      <c r="E46" s="223">
        <f t="shared" si="15"/>
        <v>0</v>
      </c>
      <c r="F46" s="223">
        <f t="shared" si="16"/>
        <v>0</v>
      </c>
      <c r="G46" s="223">
        <f t="shared" si="17"/>
        <v>0</v>
      </c>
      <c r="H46" s="223">
        <f t="shared" si="18"/>
        <v>0</v>
      </c>
      <c r="I46" s="223">
        <f t="shared" si="19"/>
        <v>0</v>
      </c>
      <c r="J46" s="223">
        <f t="shared" si="20"/>
        <v>58.5</v>
      </c>
      <c r="K46" s="223">
        <f t="shared" si="21"/>
        <v>0</v>
      </c>
      <c r="L46" s="78"/>
      <c r="W46" s="78"/>
      <c r="X46" s="78"/>
      <c r="Y46" s="78"/>
      <c r="Z46" s="78"/>
      <c r="AA46" s="78"/>
      <c r="AG46" s="78"/>
      <c r="AH46" s="78"/>
      <c r="AI46" s="78"/>
      <c r="AJ46" s="78"/>
      <c r="AK46" s="78"/>
      <c r="AL46" s="78"/>
      <c r="AM46" s="78"/>
      <c r="AN46" s="78"/>
      <c r="AO46" s="78"/>
    </row>
    <row r="47" spans="1:41" hidden="1">
      <c r="A47" s="95">
        <v>10</v>
      </c>
      <c r="B47" s="223">
        <f t="shared" si="12"/>
        <v>0</v>
      </c>
      <c r="C47" s="223">
        <f t="shared" si="13"/>
        <v>97.5</v>
      </c>
      <c r="D47" s="223">
        <f t="shared" si="14"/>
        <v>0</v>
      </c>
      <c r="E47" s="223">
        <f t="shared" si="15"/>
        <v>0</v>
      </c>
      <c r="F47" s="223">
        <f t="shared" si="16"/>
        <v>0</v>
      </c>
      <c r="G47" s="223">
        <f t="shared" si="17"/>
        <v>0</v>
      </c>
      <c r="H47" s="223">
        <f t="shared" si="18"/>
        <v>0</v>
      </c>
      <c r="I47" s="223">
        <f t="shared" si="19"/>
        <v>0</v>
      </c>
      <c r="J47" s="223">
        <f t="shared" si="20"/>
        <v>97.5</v>
      </c>
      <c r="K47" s="223">
        <f t="shared" si="21"/>
        <v>0</v>
      </c>
      <c r="L47" s="78"/>
      <c r="W47" s="78"/>
      <c r="X47" s="78"/>
      <c r="Y47" s="78"/>
      <c r="Z47" s="78"/>
      <c r="AA47" s="78"/>
      <c r="AG47" s="78"/>
      <c r="AH47" s="78"/>
      <c r="AI47" s="78"/>
      <c r="AJ47" s="78"/>
      <c r="AK47" s="78"/>
      <c r="AL47" s="78"/>
      <c r="AM47" s="78"/>
      <c r="AN47" s="78"/>
      <c r="AO47" s="78"/>
    </row>
    <row r="48" spans="1:41" hidden="1">
      <c r="A48" s="95">
        <v>12</v>
      </c>
      <c r="B48" s="223">
        <f t="shared" si="12"/>
        <v>0</v>
      </c>
      <c r="C48" s="223">
        <f t="shared" si="13"/>
        <v>156</v>
      </c>
      <c r="D48" s="223">
        <f t="shared" si="14"/>
        <v>0</v>
      </c>
      <c r="E48" s="223">
        <f t="shared" si="15"/>
        <v>0</v>
      </c>
      <c r="F48" s="223">
        <f t="shared" si="16"/>
        <v>0</v>
      </c>
      <c r="G48" s="223">
        <f t="shared" si="17"/>
        <v>0</v>
      </c>
      <c r="H48" s="223">
        <f t="shared" si="18"/>
        <v>0</v>
      </c>
      <c r="I48" s="223">
        <f t="shared" si="19"/>
        <v>0</v>
      </c>
      <c r="J48" s="223">
        <f t="shared" si="20"/>
        <v>156</v>
      </c>
      <c r="K48" s="223">
        <f t="shared" si="21"/>
        <v>0</v>
      </c>
      <c r="L48" s="78"/>
      <c r="W48" s="78"/>
      <c r="X48" s="78"/>
      <c r="Y48" s="78"/>
      <c r="Z48" s="78"/>
      <c r="AA48" s="78"/>
      <c r="AG48" s="78"/>
      <c r="AH48" s="78"/>
      <c r="AI48" s="78"/>
      <c r="AJ48" s="78"/>
      <c r="AK48" s="78"/>
      <c r="AL48" s="78"/>
      <c r="AM48" s="78"/>
      <c r="AN48" s="78"/>
      <c r="AO48" s="78"/>
    </row>
    <row r="49" spans="1:41" hidden="1">
      <c r="A49" s="95">
        <v>14</v>
      </c>
      <c r="B49" s="223">
        <f t="shared" si="12"/>
        <v>0</v>
      </c>
      <c r="C49" s="223">
        <f t="shared" si="13"/>
        <v>156</v>
      </c>
      <c r="D49" s="223">
        <f t="shared" si="14"/>
        <v>0</v>
      </c>
      <c r="E49" s="223">
        <f t="shared" si="15"/>
        <v>0</v>
      </c>
      <c r="F49" s="223">
        <f t="shared" si="16"/>
        <v>0</v>
      </c>
      <c r="G49" s="223">
        <f t="shared" si="17"/>
        <v>0</v>
      </c>
      <c r="H49" s="223">
        <f t="shared" si="18"/>
        <v>0</v>
      </c>
      <c r="I49" s="223">
        <f t="shared" si="19"/>
        <v>0</v>
      </c>
      <c r="J49" s="223">
        <f t="shared" si="20"/>
        <v>156</v>
      </c>
      <c r="K49" s="223">
        <f t="shared" si="21"/>
        <v>0</v>
      </c>
      <c r="L49" s="78"/>
      <c r="W49" s="78"/>
      <c r="X49" s="78"/>
      <c r="Y49" s="78"/>
      <c r="Z49" s="78"/>
      <c r="AA49" s="78"/>
      <c r="AG49" s="78"/>
      <c r="AH49" s="78"/>
      <c r="AI49" s="78"/>
      <c r="AJ49" s="78"/>
      <c r="AK49" s="78"/>
      <c r="AL49" s="78"/>
      <c r="AM49" s="78"/>
      <c r="AN49" s="78"/>
      <c r="AO49" s="78"/>
    </row>
    <row r="50" spans="1:41" hidden="1">
      <c r="A50" s="95">
        <v>16</v>
      </c>
      <c r="B50" s="223">
        <f t="shared" si="12"/>
        <v>0</v>
      </c>
      <c r="C50" s="223">
        <f t="shared" si="13"/>
        <v>117</v>
      </c>
      <c r="D50" s="223">
        <f t="shared" si="14"/>
        <v>0</v>
      </c>
      <c r="E50" s="223">
        <f t="shared" si="15"/>
        <v>0</v>
      </c>
      <c r="F50" s="223">
        <f t="shared" si="16"/>
        <v>0</v>
      </c>
      <c r="G50" s="223">
        <f t="shared" si="17"/>
        <v>0</v>
      </c>
      <c r="H50" s="223">
        <f t="shared" si="18"/>
        <v>0</v>
      </c>
      <c r="I50" s="223">
        <f t="shared" si="19"/>
        <v>0</v>
      </c>
      <c r="J50" s="223">
        <f t="shared" si="20"/>
        <v>117</v>
      </c>
      <c r="K50" s="223">
        <f t="shared" si="21"/>
        <v>0</v>
      </c>
      <c r="L50" s="78"/>
      <c r="W50" s="78"/>
      <c r="X50" s="78"/>
      <c r="Y50" s="78"/>
      <c r="Z50" s="78"/>
      <c r="AA50" s="78"/>
      <c r="AG50" s="78"/>
      <c r="AH50" s="78"/>
      <c r="AI50" s="78"/>
      <c r="AJ50" s="78"/>
      <c r="AK50" s="78"/>
      <c r="AL50" s="78"/>
      <c r="AM50" s="78"/>
      <c r="AN50" s="78"/>
      <c r="AO50" s="78"/>
    </row>
    <row r="51" spans="1:41" hidden="1">
      <c r="A51" s="95">
        <v>18</v>
      </c>
      <c r="B51" s="223">
        <f t="shared" si="12"/>
        <v>0</v>
      </c>
      <c r="C51" s="223">
        <f t="shared" si="13"/>
        <v>97.5</v>
      </c>
      <c r="D51" s="223">
        <f t="shared" si="14"/>
        <v>0</v>
      </c>
      <c r="E51" s="223">
        <f t="shared" si="15"/>
        <v>0</v>
      </c>
      <c r="F51" s="223">
        <f t="shared" si="16"/>
        <v>0</v>
      </c>
      <c r="G51" s="223">
        <f t="shared" si="17"/>
        <v>0</v>
      </c>
      <c r="H51" s="223">
        <f t="shared" si="18"/>
        <v>0</v>
      </c>
      <c r="I51" s="223">
        <f t="shared" si="19"/>
        <v>0</v>
      </c>
      <c r="J51" s="223">
        <f t="shared" si="20"/>
        <v>97.5</v>
      </c>
      <c r="K51" s="223">
        <f t="shared" si="21"/>
        <v>0</v>
      </c>
      <c r="L51" s="78"/>
      <c r="W51" s="78"/>
      <c r="X51" s="78"/>
      <c r="Y51" s="78"/>
      <c r="Z51" s="78"/>
      <c r="AA51" s="78"/>
      <c r="AG51" s="78"/>
      <c r="AH51" s="78"/>
      <c r="AI51" s="78"/>
      <c r="AJ51" s="78"/>
      <c r="AK51" s="78"/>
      <c r="AL51" s="78"/>
      <c r="AM51" s="78"/>
      <c r="AN51" s="78"/>
      <c r="AO51" s="78"/>
    </row>
    <row r="52" spans="1:41" hidden="1">
      <c r="A52" s="95">
        <v>20</v>
      </c>
      <c r="B52" s="223">
        <f t="shared" si="12"/>
        <v>0</v>
      </c>
      <c r="C52" s="223">
        <f t="shared" si="13"/>
        <v>97.5</v>
      </c>
      <c r="D52" s="223">
        <f t="shared" si="14"/>
        <v>0</v>
      </c>
      <c r="E52" s="223">
        <f t="shared" si="15"/>
        <v>0</v>
      </c>
      <c r="F52" s="223">
        <f t="shared" si="16"/>
        <v>0</v>
      </c>
      <c r="G52" s="223">
        <f t="shared" si="17"/>
        <v>0</v>
      </c>
      <c r="H52" s="223">
        <f t="shared" si="18"/>
        <v>0</v>
      </c>
      <c r="I52" s="223">
        <f t="shared" si="19"/>
        <v>0</v>
      </c>
      <c r="J52" s="223">
        <f t="shared" si="20"/>
        <v>97.5</v>
      </c>
      <c r="K52" s="223">
        <f t="shared" si="21"/>
        <v>0</v>
      </c>
      <c r="L52" s="78"/>
      <c r="W52" s="78"/>
      <c r="X52" s="78"/>
      <c r="Y52" s="78"/>
      <c r="Z52" s="78"/>
      <c r="AA52" s="78"/>
      <c r="AG52" s="78"/>
      <c r="AH52" s="78"/>
      <c r="AI52" s="78"/>
      <c r="AJ52" s="78"/>
      <c r="AK52" s="78"/>
      <c r="AL52" s="78"/>
      <c r="AM52" s="78"/>
      <c r="AN52" s="78"/>
      <c r="AO52" s="78"/>
    </row>
    <row r="53" spans="1:41" hidden="1">
      <c r="A53" s="96">
        <v>22</v>
      </c>
      <c r="B53" s="223">
        <f t="shared" si="12"/>
        <v>0</v>
      </c>
      <c r="C53" s="223">
        <f t="shared" si="13"/>
        <v>87.75</v>
      </c>
      <c r="D53" s="223">
        <f t="shared" si="14"/>
        <v>0</v>
      </c>
      <c r="E53" s="223">
        <f t="shared" si="15"/>
        <v>0</v>
      </c>
      <c r="F53" s="223">
        <f t="shared" si="16"/>
        <v>0</v>
      </c>
      <c r="G53" s="223">
        <f t="shared" si="17"/>
        <v>0</v>
      </c>
      <c r="H53" s="223">
        <f t="shared" si="18"/>
        <v>0</v>
      </c>
      <c r="I53" s="223">
        <f t="shared" si="19"/>
        <v>0</v>
      </c>
      <c r="J53" s="223">
        <f t="shared" si="20"/>
        <v>87.75</v>
      </c>
      <c r="K53" s="223">
        <f t="shared" si="21"/>
        <v>0</v>
      </c>
      <c r="L53" s="78"/>
      <c r="W53" s="78"/>
      <c r="X53" s="78"/>
      <c r="Y53" s="78"/>
      <c r="Z53" s="78"/>
      <c r="AA53" s="78"/>
      <c r="AG53" s="78"/>
      <c r="AH53" s="78"/>
      <c r="AI53" s="78"/>
      <c r="AJ53" s="78"/>
      <c r="AK53" s="78"/>
      <c r="AL53" s="78"/>
      <c r="AM53" s="78"/>
      <c r="AN53" s="78"/>
      <c r="AO53" s="78"/>
    </row>
    <row r="54" spans="1:41" hidden="1">
      <c r="A54" s="96"/>
      <c r="B54" s="96"/>
      <c r="C54" s="96"/>
      <c r="D54" s="96"/>
      <c r="E54" s="96"/>
      <c r="F54" s="96"/>
      <c r="G54" s="96"/>
      <c r="H54" s="96"/>
      <c r="I54" s="96"/>
      <c r="J54" s="96"/>
      <c r="K54" s="96"/>
      <c r="L54" s="78"/>
      <c r="W54" s="78"/>
      <c r="X54" s="78"/>
      <c r="Y54" s="78"/>
      <c r="Z54" s="78"/>
      <c r="AA54" s="78"/>
      <c r="AG54" s="78"/>
      <c r="AH54" s="78"/>
      <c r="AI54" s="78"/>
      <c r="AJ54" s="78"/>
      <c r="AK54" s="78"/>
      <c r="AL54" s="78"/>
      <c r="AM54" s="78"/>
      <c r="AN54" s="78"/>
      <c r="AO54" s="78"/>
    </row>
    <row r="55" spans="1:41" hidden="1">
      <c r="A55" s="96"/>
      <c r="B55" s="96"/>
      <c r="C55" s="96"/>
      <c r="D55" s="96"/>
      <c r="E55" s="96"/>
      <c r="F55" s="96"/>
      <c r="G55" s="96"/>
      <c r="H55" s="96"/>
      <c r="I55" s="96"/>
      <c r="J55" s="96"/>
      <c r="K55" s="96"/>
      <c r="L55" s="78"/>
      <c r="W55" s="78"/>
      <c r="X55" s="78"/>
      <c r="Y55" s="78"/>
      <c r="Z55" s="78"/>
      <c r="AA55" s="78"/>
      <c r="AG55" s="78"/>
      <c r="AH55" s="78"/>
      <c r="AI55" s="78"/>
      <c r="AJ55" s="78"/>
      <c r="AK55" s="78"/>
      <c r="AL55" s="78"/>
      <c r="AM55" s="78"/>
      <c r="AN55" s="78"/>
      <c r="AO55" s="78"/>
    </row>
    <row r="56" spans="1:41" hidden="1">
      <c r="A56" s="96"/>
      <c r="B56" s="96"/>
      <c r="C56" s="96"/>
      <c r="D56" s="96"/>
      <c r="E56" s="96"/>
      <c r="F56" s="96"/>
      <c r="G56" s="96"/>
      <c r="H56" s="96"/>
      <c r="I56" s="96"/>
      <c r="J56" s="96"/>
      <c r="K56" s="96"/>
      <c r="L56" s="78"/>
      <c r="W56" s="78"/>
      <c r="X56" s="78"/>
      <c r="Y56" s="78"/>
      <c r="Z56" s="78"/>
      <c r="AA56" s="78"/>
      <c r="AG56" s="78"/>
      <c r="AH56" s="78"/>
      <c r="AI56" s="78"/>
      <c r="AJ56" s="78"/>
      <c r="AK56" s="78"/>
      <c r="AL56" s="78"/>
      <c r="AM56" s="78"/>
      <c r="AN56" s="78"/>
      <c r="AO56" s="78"/>
    </row>
    <row r="57" spans="1:41" hidden="1">
      <c r="A57" s="96" t="s">
        <v>197</v>
      </c>
      <c r="B57" s="96"/>
      <c r="C57" s="96"/>
      <c r="D57" s="96"/>
      <c r="E57" s="96"/>
      <c r="F57" s="96"/>
      <c r="G57" s="96"/>
      <c r="H57" s="96"/>
      <c r="I57" s="96"/>
      <c r="J57" s="96"/>
      <c r="K57" s="96"/>
      <c r="L57" s="78"/>
      <c r="W57" s="78"/>
      <c r="X57" s="78"/>
      <c r="Y57" s="78"/>
      <c r="Z57" s="78"/>
      <c r="AA57" s="78"/>
      <c r="AG57" s="78"/>
      <c r="AH57" s="78"/>
      <c r="AI57" s="78"/>
      <c r="AJ57" s="78"/>
      <c r="AK57" s="78"/>
      <c r="AL57" s="78"/>
      <c r="AM57" s="78"/>
      <c r="AN57" s="78"/>
      <c r="AO57" s="78"/>
    </row>
    <row r="58" spans="1:41" hidden="1">
      <c r="A58" s="96"/>
      <c r="B58" s="96"/>
      <c r="C58" s="96"/>
      <c r="D58" s="96"/>
      <c r="E58" s="96"/>
      <c r="F58" s="96"/>
      <c r="G58" s="96"/>
      <c r="H58" s="96"/>
      <c r="I58" s="96"/>
      <c r="J58" s="96"/>
      <c r="K58" s="96"/>
      <c r="L58" s="78"/>
      <c r="W58" s="78"/>
      <c r="X58" s="78"/>
      <c r="Y58" s="78"/>
      <c r="Z58" s="78"/>
      <c r="AA58" s="78"/>
      <c r="AG58" s="78"/>
      <c r="AH58" s="78"/>
      <c r="AI58" s="78"/>
      <c r="AJ58" s="78"/>
      <c r="AK58" s="78"/>
      <c r="AL58" s="78"/>
      <c r="AM58" s="78"/>
      <c r="AN58" s="78"/>
      <c r="AO58" s="78"/>
    </row>
    <row r="59" spans="1:41" ht="14.25" hidden="1">
      <c r="A59" s="95" t="s">
        <v>528</v>
      </c>
      <c r="B59" s="96"/>
      <c r="C59" s="96"/>
      <c r="D59" s="96"/>
      <c r="E59" s="96"/>
      <c r="F59" s="96"/>
      <c r="G59" s="96"/>
      <c r="H59" s="96"/>
      <c r="I59" s="96"/>
      <c r="J59" s="96"/>
      <c r="K59" s="96"/>
      <c r="L59" s="78"/>
      <c r="W59" s="78"/>
      <c r="X59" s="78"/>
      <c r="Y59" s="78"/>
      <c r="Z59" s="78"/>
      <c r="AA59" s="78"/>
      <c r="AG59" s="78"/>
      <c r="AH59" s="78"/>
      <c r="AI59" s="78"/>
      <c r="AJ59" s="78"/>
      <c r="AK59" s="78"/>
      <c r="AL59" s="78"/>
      <c r="AM59" s="78"/>
      <c r="AN59" s="78"/>
      <c r="AO59" s="78"/>
    </row>
    <row r="60" spans="1:41" hidden="1">
      <c r="A60" s="96"/>
      <c r="B60" s="96"/>
      <c r="C60" s="96"/>
      <c r="D60" s="96"/>
      <c r="E60" s="96"/>
      <c r="F60" s="96"/>
      <c r="G60" s="96"/>
      <c r="H60" s="96"/>
      <c r="I60" s="96"/>
      <c r="J60" s="96"/>
      <c r="K60" s="96"/>
      <c r="L60" s="78"/>
      <c r="W60" s="78"/>
      <c r="X60" s="78"/>
      <c r="Y60" s="78"/>
      <c r="Z60" s="78"/>
      <c r="AA60" s="78"/>
    </row>
    <row r="61" spans="1:41" hidden="1">
      <c r="A61" s="96" t="s">
        <v>183</v>
      </c>
      <c r="B61" s="96" t="s">
        <v>188</v>
      </c>
      <c r="C61" s="96" t="s">
        <v>189</v>
      </c>
      <c r="D61" s="96" t="s">
        <v>190</v>
      </c>
      <c r="E61" s="96" t="s">
        <v>191</v>
      </c>
      <c r="F61" s="96" t="s">
        <v>192</v>
      </c>
      <c r="G61" s="96" t="s">
        <v>193</v>
      </c>
      <c r="H61" s="96" t="s">
        <v>194</v>
      </c>
      <c r="I61" s="96" t="s">
        <v>195</v>
      </c>
      <c r="J61" s="96"/>
      <c r="K61" s="96"/>
      <c r="N61" s="88" t="s">
        <v>222</v>
      </c>
      <c r="O61" s="88"/>
      <c r="P61" s="78"/>
      <c r="Q61" s="78"/>
      <c r="R61" s="78"/>
      <c r="S61" s="78"/>
      <c r="T61" s="78"/>
      <c r="U61" s="78"/>
      <c r="V61" s="78"/>
      <c r="W61" s="78"/>
      <c r="X61" s="78"/>
      <c r="Y61" s="78"/>
      <c r="Z61" s="78"/>
      <c r="AA61" s="78"/>
    </row>
    <row r="62" spans="1:41" hidden="1">
      <c r="A62" s="96" t="s">
        <v>181</v>
      </c>
      <c r="B62" s="96">
        <f>+superficies!G11</f>
        <v>0</v>
      </c>
      <c r="C62" s="96">
        <f>+superficies!G10</f>
        <v>2.88</v>
      </c>
      <c r="D62" s="96">
        <f>+superficies!G9</f>
        <v>0</v>
      </c>
      <c r="E62" s="96">
        <f>+superficies!G8</f>
        <v>18</v>
      </c>
      <c r="F62" s="96">
        <f>+superficies!G15</f>
        <v>0</v>
      </c>
      <c r="G62" s="96">
        <f>+superficies!G14</f>
        <v>0</v>
      </c>
      <c r="H62" s="96">
        <f>+superficies!G13</f>
        <v>0</v>
      </c>
      <c r="I62" s="96">
        <f>+superficies!G12</f>
        <v>3.36</v>
      </c>
      <c r="J62" s="96"/>
      <c r="K62" s="96"/>
      <c r="N62" s="88" t="s">
        <v>201</v>
      </c>
      <c r="O62" s="78"/>
      <c r="P62" s="78">
        <v>1.1627000000000001</v>
      </c>
      <c r="Q62" s="78" t="s">
        <v>202</v>
      </c>
      <c r="R62" s="78"/>
      <c r="S62" s="78"/>
      <c r="T62" s="78"/>
      <c r="U62" s="78"/>
      <c r="V62" s="78"/>
      <c r="W62" s="78"/>
      <c r="X62" s="78"/>
      <c r="Y62" s="78"/>
      <c r="Z62" s="78"/>
      <c r="AA62" s="78"/>
    </row>
    <row r="63" spans="1:41" hidden="1">
      <c r="A63" s="96" t="s">
        <v>82</v>
      </c>
      <c r="B63" s="96">
        <f>+'Balance calefacción'!D14</f>
        <v>4.3</v>
      </c>
      <c r="C63" s="96">
        <f>+'Balance calefacción'!Y19</f>
        <v>4.3</v>
      </c>
      <c r="D63" s="96">
        <f>+'Balance calefacción'!Y18</f>
        <v>4.3</v>
      </c>
      <c r="E63" s="96">
        <f>+'Balance calefacción'!Y18</f>
        <v>4.3</v>
      </c>
      <c r="F63" s="96">
        <f>+'Balance calefacción'!Y18</f>
        <v>4.3</v>
      </c>
      <c r="G63" s="96">
        <f>+'Balance calefacción'!Y19</f>
        <v>4.3</v>
      </c>
      <c r="H63" s="96">
        <f>+'Balance calefacción'!D14</f>
        <v>4.3</v>
      </c>
      <c r="I63" s="96">
        <f>+'Balance calefacción'!D14</f>
        <v>4.3</v>
      </c>
      <c r="J63" s="96"/>
      <c r="K63" s="96"/>
      <c r="N63" s="78"/>
      <c r="O63" s="78"/>
      <c r="P63" s="78"/>
      <c r="Q63" s="78"/>
      <c r="R63" s="78"/>
      <c r="S63" s="78"/>
      <c r="T63" s="78"/>
      <c r="U63" s="78"/>
      <c r="V63" s="78"/>
      <c r="W63" s="78"/>
      <c r="X63" s="78"/>
      <c r="Y63" s="78"/>
      <c r="Z63" s="78"/>
      <c r="AA63" s="78"/>
    </row>
    <row r="64" spans="1:41" hidden="1">
      <c r="A64" s="96"/>
      <c r="B64" s="96"/>
      <c r="C64" s="96"/>
      <c r="D64" s="96"/>
      <c r="E64" s="96"/>
      <c r="F64" s="96"/>
      <c r="G64" s="96"/>
      <c r="H64" s="96"/>
      <c r="I64" s="96"/>
      <c r="J64" s="96"/>
      <c r="K64" s="96"/>
      <c r="N64" s="88" t="s">
        <v>183</v>
      </c>
      <c r="O64" s="89" t="s">
        <v>188</v>
      </c>
      <c r="P64" s="89" t="s">
        <v>189</v>
      </c>
      <c r="Q64" s="89" t="s">
        <v>190</v>
      </c>
      <c r="R64" s="89" t="s">
        <v>191</v>
      </c>
      <c r="S64" s="89" t="s">
        <v>192</v>
      </c>
      <c r="T64" s="89" t="s">
        <v>193</v>
      </c>
      <c r="U64" s="89" t="s">
        <v>194</v>
      </c>
      <c r="V64" s="89" t="s">
        <v>195</v>
      </c>
      <c r="W64" s="89" t="s">
        <v>6</v>
      </c>
      <c r="X64" s="78"/>
      <c r="Y64" s="78"/>
      <c r="Z64" s="78"/>
      <c r="AA64" s="78"/>
    </row>
    <row r="65" spans="1:27" hidden="1">
      <c r="A65" s="95" t="s">
        <v>203</v>
      </c>
      <c r="B65" s="96"/>
      <c r="C65" s="96"/>
      <c r="D65" s="96"/>
      <c r="E65" s="96"/>
      <c r="F65" s="96"/>
      <c r="G65" s="96"/>
      <c r="H65" s="96"/>
      <c r="I65" s="96"/>
      <c r="J65" s="96"/>
      <c r="K65" s="96"/>
      <c r="N65" s="88" t="s">
        <v>187</v>
      </c>
      <c r="O65" s="88"/>
      <c r="P65" s="88"/>
      <c r="Q65" s="88"/>
      <c r="R65" s="88"/>
      <c r="S65" s="88"/>
      <c r="T65" s="88"/>
      <c r="U65" s="88"/>
      <c r="V65" s="88"/>
      <c r="W65" s="88"/>
      <c r="X65" s="78"/>
      <c r="Y65" s="78"/>
      <c r="Z65" s="78"/>
      <c r="AA65" s="78"/>
    </row>
    <row r="66" spans="1:27" hidden="1">
      <c r="A66" s="96"/>
      <c r="B66" s="96"/>
      <c r="C66" s="96"/>
      <c r="D66" s="96"/>
      <c r="E66" s="96"/>
      <c r="F66" s="96"/>
      <c r="G66" s="96" t="s">
        <v>2</v>
      </c>
      <c r="H66" s="96"/>
      <c r="I66" s="96"/>
      <c r="J66" s="96"/>
      <c r="K66" s="96"/>
      <c r="N66" s="78">
        <v>0</v>
      </c>
      <c r="O66" s="224">
        <v>0</v>
      </c>
      <c r="P66" s="224">
        <v>0</v>
      </c>
      <c r="Q66" s="224">
        <v>0</v>
      </c>
      <c r="R66" s="224">
        <v>0</v>
      </c>
      <c r="S66" s="224">
        <v>0</v>
      </c>
      <c r="T66" s="224">
        <v>0</v>
      </c>
      <c r="U66" s="224">
        <v>0</v>
      </c>
      <c r="V66" s="224">
        <v>0</v>
      </c>
      <c r="W66" s="224">
        <v>0</v>
      </c>
      <c r="X66" s="78"/>
      <c r="Y66" s="78"/>
      <c r="Z66" s="78"/>
      <c r="AA66" s="78"/>
    </row>
    <row r="67" spans="1:27" hidden="1">
      <c r="A67" s="96" t="s">
        <v>183</v>
      </c>
      <c r="B67" s="96" t="s">
        <v>188</v>
      </c>
      <c r="C67" s="96" t="s">
        <v>189</v>
      </c>
      <c r="D67" s="96" t="s">
        <v>190</v>
      </c>
      <c r="E67" s="96" t="s">
        <v>191</v>
      </c>
      <c r="F67" s="96" t="s">
        <v>192</v>
      </c>
      <c r="G67" s="96" t="s">
        <v>193</v>
      </c>
      <c r="H67" s="96" t="s">
        <v>194</v>
      </c>
      <c r="I67" s="96" t="s">
        <v>195</v>
      </c>
      <c r="J67" s="96" t="s">
        <v>0</v>
      </c>
      <c r="K67" s="96"/>
      <c r="N67" s="78">
        <v>2</v>
      </c>
      <c r="O67" s="224">
        <v>0</v>
      </c>
      <c r="P67" s="224">
        <v>0</v>
      </c>
      <c r="Q67" s="224">
        <v>0</v>
      </c>
      <c r="R67" s="224">
        <v>0</v>
      </c>
      <c r="S67" s="224">
        <v>0</v>
      </c>
      <c r="T67" s="224">
        <v>0</v>
      </c>
      <c r="U67" s="224">
        <v>0</v>
      </c>
      <c r="V67" s="224">
        <v>0</v>
      </c>
      <c r="W67" s="224">
        <v>0</v>
      </c>
      <c r="X67" s="78"/>
      <c r="Y67" s="78"/>
      <c r="Z67" s="78"/>
      <c r="AA67" s="78"/>
    </row>
    <row r="68" spans="1:27" hidden="1">
      <c r="A68" s="96" t="s">
        <v>187</v>
      </c>
      <c r="B68" s="96"/>
      <c r="C68" s="96"/>
      <c r="D68" s="96"/>
      <c r="E68" s="96"/>
      <c r="F68" s="96"/>
      <c r="G68" s="96"/>
      <c r="H68" s="96"/>
      <c r="I68" s="96"/>
      <c r="J68" s="96" t="s">
        <v>2</v>
      </c>
      <c r="K68" s="96"/>
      <c r="N68" s="78">
        <v>4</v>
      </c>
      <c r="O68" s="224">
        <v>0</v>
      </c>
      <c r="P68" s="224">
        <v>0</v>
      </c>
      <c r="Q68" s="224">
        <v>0</v>
      </c>
      <c r="R68" s="224">
        <v>0</v>
      </c>
      <c r="S68" s="224">
        <v>0</v>
      </c>
      <c r="T68" s="224">
        <v>0</v>
      </c>
      <c r="U68" s="224">
        <v>0</v>
      </c>
      <c r="V68" s="224">
        <v>0</v>
      </c>
      <c r="W68" s="224">
        <v>0</v>
      </c>
      <c r="X68" s="78"/>
      <c r="Y68" s="78"/>
      <c r="Z68" s="78"/>
      <c r="AA68" s="78"/>
    </row>
    <row r="69" spans="1:27" hidden="1">
      <c r="A69" s="96">
        <v>0</v>
      </c>
      <c r="B69" s="96">
        <f t="shared" ref="B69:I80" si="22">+B$62*B$63*($AA12-$G$266)</f>
        <v>0</v>
      </c>
      <c r="C69" s="96">
        <f t="shared" si="22"/>
        <v>-25.077599999999979</v>
      </c>
      <c r="D69" s="96">
        <f t="shared" si="22"/>
        <v>0</v>
      </c>
      <c r="E69" s="96">
        <f t="shared" si="22"/>
        <v>-156.73499999999987</v>
      </c>
      <c r="F69" s="96">
        <f t="shared" si="22"/>
        <v>0</v>
      </c>
      <c r="G69" s="96">
        <f t="shared" si="22"/>
        <v>0</v>
      </c>
      <c r="H69" s="96">
        <f t="shared" si="22"/>
        <v>0</v>
      </c>
      <c r="I69" s="96">
        <f t="shared" si="22"/>
        <v>-29.257199999999976</v>
      </c>
      <c r="J69" s="96">
        <f>SUM(B69:I69)</f>
        <v>-211.06979999999984</v>
      </c>
      <c r="K69" s="96"/>
      <c r="N69" s="78">
        <v>6</v>
      </c>
      <c r="O69" s="224">
        <v>359.27430000000004</v>
      </c>
      <c r="P69" s="224">
        <v>279.048</v>
      </c>
      <c r="Q69" s="224">
        <v>0</v>
      </c>
      <c r="R69" s="224">
        <v>0</v>
      </c>
      <c r="S69" s="224">
        <v>0</v>
      </c>
      <c r="T69" s="224">
        <v>0</v>
      </c>
      <c r="U69" s="224">
        <v>0</v>
      </c>
      <c r="V69" s="224">
        <v>90.690600000000003</v>
      </c>
      <c r="W69" s="224">
        <v>80.226300000000009</v>
      </c>
      <c r="X69" s="78"/>
      <c r="Y69" s="78"/>
      <c r="Z69" s="78"/>
      <c r="AA69" s="78"/>
    </row>
    <row r="70" spans="1:27" hidden="1">
      <c r="A70" s="96">
        <v>2</v>
      </c>
      <c r="B70" s="96">
        <f t="shared" si="22"/>
        <v>0</v>
      </c>
      <c r="C70" s="96">
        <f t="shared" si="22"/>
        <v>-37.925999999999952</v>
      </c>
      <c r="D70" s="96">
        <f t="shared" si="22"/>
        <v>0</v>
      </c>
      <c r="E70" s="96">
        <f t="shared" si="22"/>
        <v>-237.03749999999971</v>
      </c>
      <c r="F70" s="96">
        <f t="shared" si="22"/>
        <v>0</v>
      </c>
      <c r="G70" s="96">
        <f t="shared" si="22"/>
        <v>0</v>
      </c>
      <c r="H70" s="96">
        <f t="shared" si="22"/>
        <v>0</v>
      </c>
      <c r="I70" s="96">
        <f t="shared" si="22"/>
        <v>-44.246999999999943</v>
      </c>
      <c r="J70" s="96">
        <f t="shared" ref="J70:J80" si="23">SUM(B70:I70)</f>
        <v>-319.21049999999963</v>
      </c>
      <c r="K70" s="96"/>
      <c r="N70" s="78">
        <v>8</v>
      </c>
      <c r="O70" s="224">
        <v>381.36560000000003</v>
      </c>
      <c r="P70" s="224">
        <v>515.0761</v>
      </c>
      <c r="Q70" s="224">
        <v>433.68710000000004</v>
      </c>
      <c r="R70" s="224">
        <v>93.016000000000005</v>
      </c>
      <c r="S70" s="224">
        <v>29.067499999999999</v>
      </c>
      <c r="T70" s="224">
        <v>37.206400000000002</v>
      </c>
      <c r="U70" s="224">
        <v>37.206400000000002</v>
      </c>
      <c r="V70" s="224">
        <v>44.182600000000001</v>
      </c>
      <c r="W70" s="224">
        <v>422.06010000000003</v>
      </c>
      <c r="X70" s="78"/>
      <c r="Y70" s="78"/>
      <c r="Z70" s="78"/>
      <c r="AA70" s="78"/>
    </row>
    <row r="71" spans="1:27" hidden="1">
      <c r="A71" s="96">
        <v>4</v>
      </c>
      <c r="B71" s="96">
        <f t="shared" si="22"/>
        <v>0</v>
      </c>
      <c r="C71" s="96">
        <f t="shared" si="22"/>
        <v>-50.774399999999964</v>
      </c>
      <c r="D71" s="96">
        <f t="shared" si="22"/>
        <v>0</v>
      </c>
      <c r="E71" s="96">
        <f t="shared" si="22"/>
        <v>-317.3399999999998</v>
      </c>
      <c r="F71" s="96">
        <f t="shared" si="22"/>
        <v>0</v>
      </c>
      <c r="G71" s="96">
        <f t="shared" si="22"/>
        <v>0</v>
      </c>
      <c r="H71" s="96">
        <f t="shared" si="22"/>
        <v>0</v>
      </c>
      <c r="I71" s="96">
        <f t="shared" si="22"/>
        <v>-59.236799999999967</v>
      </c>
      <c r="J71" s="96">
        <f t="shared" si="23"/>
        <v>-427.35119999999972</v>
      </c>
      <c r="K71" s="96"/>
      <c r="N71" s="78">
        <v>10</v>
      </c>
      <c r="O71" s="224">
        <v>127.89700000000001</v>
      </c>
      <c r="P71" s="224">
        <v>316.25440000000003</v>
      </c>
      <c r="Q71" s="224">
        <v>474.38160000000005</v>
      </c>
      <c r="R71" s="224">
        <v>301.13929999999999</v>
      </c>
      <c r="S71" s="224">
        <v>44.182600000000001</v>
      </c>
      <c r="T71" s="224">
        <v>44.182600000000001</v>
      </c>
      <c r="U71" s="224">
        <v>44.182600000000001</v>
      </c>
      <c r="V71" s="224">
        <v>44.182600000000001</v>
      </c>
      <c r="W71" s="224">
        <v>674.36599999999999</v>
      </c>
      <c r="X71" s="78"/>
      <c r="Y71" s="78"/>
      <c r="Z71" s="78"/>
      <c r="AA71" s="78"/>
    </row>
    <row r="72" spans="1:27" hidden="1">
      <c r="A72" s="96">
        <v>6</v>
      </c>
      <c r="B72" s="96">
        <f t="shared" si="22"/>
        <v>0</v>
      </c>
      <c r="C72" s="96">
        <f t="shared" si="22"/>
        <v>-59.443199999999955</v>
      </c>
      <c r="D72" s="96">
        <f t="shared" si="22"/>
        <v>0</v>
      </c>
      <c r="E72" s="96">
        <f t="shared" si="22"/>
        <v>-371.51999999999975</v>
      </c>
      <c r="F72" s="96">
        <f t="shared" si="22"/>
        <v>0</v>
      </c>
      <c r="G72" s="96">
        <f t="shared" si="22"/>
        <v>0</v>
      </c>
      <c r="H72" s="96">
        <f t="shared" si="22"/>
        <v>0</v>
      </c>
      <c r="I72" s="96">
        <f t="shared" si="22"/>
        <v>-69.350399999999951</v>
      </c>
      <c r="J72" s="96">
        <f t="shared" si="23"/>
        <v>-500.31359999999961</v>
      </c>
      <c r="K72" s="96"/>
      <c r="N72" s="78">
        <v>12</v>
      </c>
      <c r="O72" s="224">
        <v>44.182600000000001</v>
      </c>
      <c r="P72" s="224">
        <v>44.182600000000001</v>
      </c>
      <c r="Q72" s="224">
        <v>249.98050000000001</v>
      </c>
      <c r="R72" s="224">
        <v>389.50450000000001</v>
      </c>
      <c r="S72" s="224">
        <v>249.98050000000001</v>
      </c>
      <c r="T72" s="224">
        <v>44.182600000000001</v>
      </c>
      <c r="U72" s="224">
        <v>44.182600000000001</v>
      </c>
      <c r="V72" s="224">
        <v>41.857200000000006</v>
      </c>
      <c r="W72" s="224">
        <v>773.19550000000004</v>
      </c>
      <c r="X72" s="78"/>
      <c r="Y72" s="78"/>
      <c r="Z72" s="78"/>
      <c r="AA72" s="78"/>
    </row>
    <row r="73" spans="1:27" hidden="1">
      <c r="A73" s="96">
        <v>8</v>
      </c>
      <c r="B73" s="96">
        <f t="shared" si="22"/>
        <v>0</v>
      </c>
      <c r="C73" s="96">
        <f t="shared" si="22"/>
        <v>-42.260399999999969</v>
      </c>
      <c r="D73" s="96">
        <f t="shared" si="22"/>
        <v>0</v>
      </c>
      <c r="E73" s="96">
        <f t="shared" si="22"/>
        <v>-264.12749999999983</v>
      </c>
      <c r="F73" s="96">
        <f t="shared" si="22"/>
        <v>0</v>
      </c>
      <c r="G73" s="96">
        <f t="shared" si="22"/>
        <v>0</v>
      </c>
      <c r="H73" s="96">
        <f t="shared" si="22"/>
        <v>0</v>
      </c>
      <c r="I73" s="96">
        <f t="shared" si="22"/>
        <v>-49.303799999999967</v>
      </c>
      <c r="J73" s="96">
        <f t="shared" si="23"/>
        <v>-355.69169999999974</v>
      </c>
      <c r="K73" s="96"/>
      <c r="N73" s="78">
        <v>14</v>
      </c>
      <c r="O73" s="224">
        <v>44.182600000000001</v>
      </c>
      <c r="P73" s="224">
        <v>44.182600000000001</v>
      </c>
      <c r="Q73" s="224">
        <v>44.182600000000001</v>
      </c>
      <c r="R73" s="224">
        <v>301.13929999999999</v>
      </c>
      <c r="S73" s="224">
        <v>474.38160000000005</v>
      </c>
      <c r="T73" s="224">
        <v>316.25440000000003</v>
      </c>
      <c r="U73" s="224">
        <v>127.89700000000001</v>
      </c>
      <c r="V73" s="224">
        <v>44.182600000000001</v>
      </c>
      <c r="W73" s="224">
        <v>674.36599999999999</v>
      </c>
      <c r="X73" s="78"/>
      <c r="Y73" s="78"/>
      <c r="Z73" s="78"/>
      <c r="AA73" s="78"/>
    </row>
    <row r="74" spans="1:27" hidden="1">
      <c r="A74" s="96">
        <v>10</v>
      </c>
      <c r="B74" s="96">
        <f t="shared" si="22"/>
        <v>0</v>
      </c>
      <c r="C74" s="96">
        <f t="shared" si="22"/>
        <v>30.805200000000049</v>
      </c>
      <c r="D74" s="96">
        <f t="shared" si="22"/>
        <v>0</v>
      </c>
      <c r="E74" s="96">
        <f t="shared" si="22"/>
        <v>192.53250000000031</v>
      </c>
      <c r="F74" s="96">
        <f t="shared" si="22"/>
        <v>0</v>
      </c>
      <c r="G74" s="96">
        <f t="shared" si="22"/>
        <v>0</v>
      </c>
      <c r="H74" s="96">
        <f t="shared" si="22"/>
        <v>0</v>
      </c>
      <c r="I74" s="96">
        <f t="shared" si="22"/>
        <v>35.939400000000056</v>
      </c>
      <c r="J74" s="96">
        <f t="shared" si="23"/>
        <v>259.27710000000042</v>
      </c>
      <c r="K74" s="96"/>
      <c r="N74" s="78">
        <v>16</v>
      </c>
      <c r="O74" s="224">
        <v>37.206400000000002</v>
      </c>
      <c r="P74" s="224">
        <v>37.206400000000002</v>
      </c>
      <c r="Q74" s="224">
        <v>29.067499999999999</v>
      </c>
      <c r="R74" s="224">
        <v>93.016000000000005</v>
      </c>
      <c r="S74" s="224">
        <v>433.68710000000004</v>
      </c>
      <c r="T74" s="224">
        <v>515.0761</v>
      </c>
      <c r="U74" s="224">
        <v>381.36560000000003</v>
      </c>
      <c r="V74" s="224">
        <v>44.182600000000001</v>
      </c>
      <c r="W74" s="224">
        <v>422.06010000000003</v>
      </c>
      <c r="X74" s="78"/>
      <c r="Y74" s="78"/>
      <c r="Z74" s="78"/>
      <c r="AA74" s="78"/>
    </row>
    <row r="75" spans="1:27" hidden="1">
      <c r="A75" s="96">
        <v>12</v>
      </c>
      <c r="B75" s="96">
        <f t="shared" si="22"/>
        <v>0</v>
      </c>
      <c r="C75" s="96">
        <f t="shared" si="22"/>
        <v>73.839600000000019</v>
      </c>
      <c r="D75" s="96">
        <f t="shared" si="22"/>
        <v>0</v>
      </c>
      <c r="E75" s="96">
        <f t="shared" si="22"/>
        <v>461.49750000000012</v>
      </c>
      <c r="F75" s="96">
        <f t="shared" si="22"/>
        <v>0</v>
      </c>
      <c r="G75" s="96">
        <f t="shared" si="22"/>
        <v>0</v>
      </c>
      <c r="H75" s="96">
        <f t="shared" si="22"/>
        <v>0</v>
      </c>
      <c r="I75" s="96">
        <f t="shared" si="22"/>
        <v>86.146200000000022</v>
      </c>
      <c r="J75" s="96">
        <f t="shared" si="23"/>
        <v>621.48330000000021</v>
      </c>
      <c r="K75" s="96"/>
      <c r="N75" s="78">
        <v>18</v>
      </c>
      <c r="O75" s="224">
        <v>0</v>
      </c>
      <c r="P75" s="224">
        <v>0</v>
      </c>
      <c r="Q75" s="224">
        <v>0</v>
      </c>
      <c r="R75" s="224">
        <v>0</v>
      </c>
      <c r="S75" s="224">
        <v>0</v>
      </c>
      <c r="T75" s="224">
        <v>279.048</v>
      </c>
      <c r="U75" s="224">
        <v>359.27430000000004</v>
      </c>
      <c r="V75" s="224">
        <v>90.690600000000003</v>
      </c>
      <c r="W75" s="224">
        <v>80.226300000000009</v>
      </c>
      <c r="X75" s="78"/>
      <c r="Y75" s="78"/>
      <c r="Z75" s="78"/>
      <c r="AA75" s="78"/>
    </row>
    <row r="76" spans="1:27" hidden="1">
      <c r="A76" s="96">
        <v>14</v>
      </c>
      <c r="B76" s="96">
        <f t="shared" si="22"/>
        <v>0</v>
      </c>
      <c r="C76" s="96">
        <f t="shared" si="22"/>
        <v>95.356800000000021</v>
      </c>
      <c r="D76" s="96">
        <f t="shared" si="22"/>
        <v>0</v>
      </c>
      <c r="E76" s="96">
        <f t="shared" si="22"/>
        <v>595.98000000000013</v>
      </c>
      <c r="F76" s="96">
        <f t="shared" si="22"/>
        <v>0</v>
      </c>
      <c r="G76" s="96">
        <f t="shared" si="22"/>
        <v>0</v>
      </c>
      <c r="H76" s="96">
        <f t="shared" si="22"/>
        <v>0</v>
      </c>
      <c r="I76" s="96">
        <f t="shared" si="22"/>
        <v>111.24960000000003</v>
      </c>
      <c r="J76" s="96">
        <f t="shared" si="23"/>
        <v>802.58640000000014</v>
      </c>
      <c r="K76" s="96"/>
      <c r="N76" s="78">
        <v>20</v>
      </c>
      <c r="O76" s="224">
        <v>0</v>
      </c>
      <c r="P76" s="224">
        <v>0</v>
      </c>
      <c r="Q76" s="224">
        <v>0</v>
      </c>
      <c r="R76" s="224">
        <v>0</v>
      </c>
      <c r="S76" s="224">
        <v>0</v>
      </c>
      <c r="T76" s="224">
        <v>0</v>
      </c>
      <c r="U76" s="224">
        <v>0</v>
      </c>
      <c r="V76" s="224">
        <v>0</v>
      </c>
      <c r="W76" s="224">
        <v>0</v>
      </c>
      <c r="X76" s="78"/>
      <c r="Y76" s="78"/>
      <c r="Z76" s="78"/>
      <c r="AA76" s="78"/>
    </row>
    <row r="77" spans="1:27" hidden="1">
      <c r="A77" s="96">
        <v>16</v>
      </c>
      <c r="B77" s="96">
        <f t="shared" si="22"/>
        <v>0</v>
      </c>
      <c r="C77" s="96">
        <f t="shared" si="22"/>
        <v>82.508400000000009</v>
      </c>
      <c r="D77" s="96">
        <f t="shared" si="22"/>
        <v>0</v>
      </c>
      <c r="E77" s="96">
        <f t="shared" si="22"/>
        <v>515.67750000000001</v>
      </c>
      <c r="F77" s="96">
        <f t="shared" si="22"/>
        <v>0</v>
      </c>
      <c r="G77" s="96">
        <f t="shared" si="22"/>
        <v>0</v>
      </c>
      <c r="H77" s="96">
        <f t="shared" si="22"/>
        <v>0</v>
      </c>
      <c r="I77" s="96">
        <f t="shared" si="22"/>
        <v>96.259800000000013</v>
      </c>
      <c r="J77" s="96">
        <f t="shared" si="23"/>
        <v>694.4457000000001</v>
      </c>
      <c r="K77" s="96"/>
      <c r="N77" s="78">
        <v>22</v>
      </c>
      <c r="O77" s="224">
        <v>0</v>
      </c>
      <c r="P77" s="224">
        <v>0</v>
      </c>
      <c r="Q77" s="224">
        <v>0</v>
      </c>
      <c r="R77" s="224">
        <v>0</v>
      </c>
      <c r="S77" s="224">
        <v>0</v>
      </c>
      <c r="T77" s="224">
        <v>0</v>
      </c>
      <c r="U77" s="224">
        <v>0</v>
      </c>
      <c r="V77" s="224">
        <v>0</v>
      </c>
      <c r="W77" s="224">
        <v>0</v>
      </c>
      <c r="X77" s="78"/>
      <c r="Y77" s="78"/>
      <c r="Z77" s="78"/>
      <c r="AA77" s="78"/>
    </row>
    <row r="78" spans="1:27" hidden="1">
      <c r="A78" s="96">
        <v>18</v>
      </c>
      <c r="B78" s="96">
        <f t="shared" si="22"/>
        <v>0</v>
      </c>
      <c r="C78" s="96">
        <f t="shared" si="22"/>
        <v>47.987999999999992</v>
      </c>
      <c r="D78" s="96">
        <f t="shared" si="22"/>
        <v>0</v>
      </c>
      <c r="E78" s="96">
        <f t="shared" si="22"/>
        <v>299.92499999999995</v>
      </c>
      <c r="F78" s="96">
        <f t="shared" si="22"/>
        <v>0</v>
      </c>
      <c r="G78" s="96">
        <f t="shared" si="22"/>
        <v>0</v>
      </c>
      <c r="H78" s="96">
        <f t="shared" si="22"/>
        <v>0</v>
      </c>
      <c r="I78" s="96">
        <f t="shared" si="22"/>
        <v>55.985999999999997</v>
      </c>
      <c r="J78" s="96">
        <f t="shared" si="23"/>
        <v>403.89899999999994</v>
      </c>
      <c r="K78" s="96"/>
      <c r="N78" s="78"/>
      <c r="O78" s="78"/>
      <c r="P78" s="78"/>
      <c r="Q78" s="78"/>
      <c r="R78" s="78"/>
      <c r="S78" s="78"/>
      <c r="T78" s="78"/>
      <c r="U78" s="78"/>
      <c r="V78" s="78"/>
      <c r="W78" s="78"/>
      <c r="X78" s="78"/>
      <c r="Y78" s="78"/>
      <c r="Z78" s="78"/>
      <c r="AA78" s="78"/>
    </row>
    <row r="79" spans="1:27" hidden="1">
      <c r="A79" s="96">
        <v>20</v>
      </c>
      <c r="B79" s="96">
        <f t="shared" si="22"/>
        <v>0</v>
      </c>
      <c r="C79" s="96">
        <f t="shared" si="22"/>
        <v>9.2880000000000429</v>
      </c>
      <c r="D79" s="96">
        <f t="shared" si="22"/>
        <v>0</v>
      </c>
      <c r="E79" s="96">
        <f t="shared" si="22"/>
        <v>58.050000000000267</v>
      </c>
      <c r="F79" s="96">
        <f t="shared" si="22"/>
        <v>0</v>
      </c>
      <c r="G79" s="96">
        <f t="shared" si="22"/>
        <v>0</v>
      </c>
      <c r="H79" s="96">
        <f t="shared" si="22"/>
        <v>0</v>
      </c>
      <c r="I79" s="96">
        <f t="shared" si="22"/>
        <v>10.83600000000005</v>
      </c>
      <c r="J79" s="96">
        <f t="shared" si="23"/>
        <v>78.174000000000362</v>
      </c>
      <c r="K79" s="96"/>
      <c r="N79" s="78"/>
      <c r="O79" s="78"/>
      <c r="P79" s="78"/>
      <c r="Q79" s="78"/>
      <c r="R79" s="78"/>
      <c r="S79" s="78"/>
      <c r="T79" s="78"/>
      <c r="U79" s="78"/>
      <c r="V79" s="78"/>
      <c r="W79" s="78"/>
      <c r="X79" s="78"/>
      <c r="Y79" s="78"/>
      <c r="Z79" s="78"/>
      <c r="AA79" s="78"/>
    </row>
    <row r="80" spans="1:27" hidden="1">
      <c r="A80" s="96">
        <v>22</v>
      </c>
      <c r="B80" s="96">
        <f t="shared" si="22"/>
        <v>0</v>
      </c>
      <c r="C80" s="96">
        <f t="shared" si="22"/>
        <v>-11.609999999999955</v>
      </c>
      <c r="D80" s="96">
        <f t="shared" si="22"/>
        <v>0</v>
      </c>
      <c r="E80" s="96">
        <f t="shared" si="22"/>
        <v>-72.562499999999716</v>
      </c>
      <c r="F80" s="96">
        <f t="shared" si="22"/>
        <v>0</v>
      </c>
      <c r="G80" s="96">
        <f t="shared" si="22"/>
        <v>0</v>
      </c>
      <c r="H80" s="96">
        <f t="shared" si="22"/>
        <v>0</v>
      </c>
      <c r="I80" s="96">
        <f t="shared" si="22"/>
        <v>-13.544999999999947</v>
      </c>
      <c r="J80" s="96">
        <f t="shared" si="23"/>
        <v>-97.717499999999617</v>
      </c>
      <c r="K80" s="96"/>
      <c r="N80" s="78"/>
      <c r="O80" s="78"/>
      <c r="P80" s="78"/>
      <c r="Q80" s="78"/>
      <c r="R80" s="78"/>
      <c r="S80" s="78"/>
      <c r="T80" s="78"/>
      <c r="U80" s="78"/>
      <c r="V80" s="78"/>
      <c r="W80" s="78"/>
      <c r="X80" s="78"/>
      <c r="Y80" s="78"/>
      <c r="Z80" s="78"/>
      <c r="AA80" s="78"/>
    </row>
    <row r="81" spans="1:32" hidden="1">
      <c r="A81" s="96"/>
      <c r="B81" s="96"/>
      <c r="C81" s="96"/>
      <c r="D81" s="96"/>
      <c r="E81" s="96"/>
      <c r="F81" s="96"/>
      <c r="G81" s="96"/>
      <c r="H81" s="96"/>
      <c r="I81" s="96"/>
      <c r="J81" s="96"/>
      <c r="K81" s="96"/>
      <c r="L81" s="78"/>
      <c r="M81" s="78"/>
      <c r="N81" s="78"/>
      <c r="O81" s="78"/>
      <c r="P81" s="78"/>
      <c r="Q81" s="78"/>
      <c r="R81" s="78"/>
      <c r="S81" s="78"/>
      <c r="T81" s="78"/>
      <c r="U81" s="78"/>
      <c r="V81" s="78"/>
      <c r="W81" s="78"/>
      <c r="X81" s="78"/>
      <c r="Y81" s="78"/>
      <c r="Z81" s="78"/>
      <c r="AA81" s="78"/>
    </row>
    <row r="82" spans="1:32" hidden="1">
      <c r="A82" s="96"/>
      <c r="B82" s="96"/>
      <c r="C82" s="96"/>
      <c r="D82" s="96"/>
      <c r="E82" s="96"/>
      <c r="F82" s="96"/>
      <c r="G82" s="96"/>
      <c r="H82" s="96"/>
      <c r="I82" s="96"/>
      <c r="J82" s="96"/>
      <c r="K82" s="96"/>
      <c r="L82" s="78"/>
      <c r="M82" s="78"/>
      <c r="N82" s="78"/>
      <c r="O82" s="78"/>
      <c r="P82" s="78"/>
      <c r="Q82" s="78"/>
      <c r="R82" s="78"/>
      <c r="S82" s="78"/>
      <c r="T82" s="78"/>
      <c r="U82" s="78"/>
      <c r="V82" s="78"/>
      <c r="W82" s="78"/>
      <c r="X82" s="78"/>
      <c r="Y82" s="78"/>
      <c r="Z82" s="78"/>
      <c r="AA82" s="78"/>
    </row>
    <row r="83" spans="1:32" hidden="1">
      <c r="A83" s="96"/>
      <c r="B83" s="96"/>
      <c r="C83" s="96"/>
      <c r="D83" s="96"/>
      <c r="E83" s="96"/>
      <c r="F83" s="96"/>
      <c r="G83" s="96"/>
      <c r="H83" s="96"/>
      <c r="I83" s="96"/>
      <c r="J83" s="96"/>
      <c r="K83" s="96"/>
      <c r="L83" s="78"/>
      <c r="M83" s="78"/>
      <c r="N83" s="78"/>
      <c r="O83" s="78"/>
      <c r="P83" s="78"/>
      <c r="Q83" s="78"/>
      <c r="R83" s="78"/>
      <c r="S83" s="78"/>
      <c r="T83" s="78"/>
      <c r="U83" s="78"/>
      <c r="V83" s="78"/>
      <c r="W83" s="78"/>
      <c r="X83" s="78"/>
      <c r="Y83" s="78"/>
      <c r="Z83" s="78"/>
      <c r="AA83" s="78"/>
    </row>
    <row r="84" spans="1:32" hidden="1">
      <c r="A84" s="96"/>
      <c r="B84" s="96"/>
      <c r="C84" s="96"/>
      <c r="D84" s="96"/>
      <c r="E84" s="96"/>
      <c r="F84" s="96"/>
      <c r="G84" s="96"/>
      <c r="H84" s="96"/>
      <c r="I84" s="96"/>
      <c r="J84" s="96"/>
      <c r="K84" s="96"/>
      <c r="L84" s="78"/>
      <c r="M84" s="78"/>
      <c r="N84" s="78"/>
      <c r="O84" s="78"/>
      <c r="P84" s="78"/>
      <c r="Q84" s="78"/>
      <c r="R84" s="78"/>
      <c r="S84" s="78"/>
      <c r="T84" s="78"/>
      <c r="U84" s="78"/>
      <c r="V84" s="78"/>
      <c r="W84" s="78"/>
      <c r="X84" s="78"/>
      <c r="Y84" s="78"/>
      <c r="Z84" s="78"/>
      <c r="AA84" s="78"/>
    </row>
    <row r="85" spans="1:32">
      <c r="A85" s="96"/>
      <c r="B85" s="96"/>
      <c r="C85" s="96"/>
      <c r="D85" s="96"/>
      <c r="E85" s="96"/>
      <c r="F85" s="96"/>
      <c r="G85" s="96"/>
      <c r="H85" s="96"/>
      <c r="I85" s="96"/>
      <c r="J85" s="96"/>
      <c r="K85" s="96"/>
      <c r="L85" s="78"/>
      <c r="M85" s="78"/>
      <c r="N85" s="78"/>
      <c r="O85" s="78"/>
      <c r="P85" s="78"/>
      <c r="Q85" s="78"/>
      <c r="R85" s="78"/>
      <c r="S85" s="78"/>
      <c r="T85" s="78"/>
      <c r="U85" s="78"/>
      <c r="V85" s="78"/>
      <c r="W85" s="78"/>
      <c r="X85" s="78"/>
      <c r="Y85" s="78"/>
      <c r="Z85" s="78"/>
      <c r="AA85" s="78"/>
    </row>
    <row r="86" spans="1:32">
      <c r="A86" s="95" t="s">
        <v>217</v>
      </c>
      <c r="B86" s="96"/>
      <c r="C86" s="96"/>
      <c r="D86" s="96"/>
      <c r="E86" s="96"/>
      <c r="F86" s="96"/>
      <c r="G86" s="96"/>
      <c r="H86" s="96"/>
      <c r="I86" s="96"/>
      <c r="J86" s="96"/>
      <c r="K86" s="96"/>
      <c r="L86" s="78"/>
      <c r="M86" s="78"/>
      <c r="N86" s="78"/>
      <c r="O86" s="78"/>
      <c r="P86" s="78"/>
      <c r="Q86" s="78"/>
      <c r="R86" s="78"/>
      <c r="S86" s="78"/>
      <c r="T86" s="78"/>
      <c r="U86" s="78"/>
      <c r="V86" s="78"/>
      <c r="W86" s="78"/>
      <c r="X86" s="78"/>
      <c r="Y86" s="78"/>
      <c r="Z86" s="78"/>
      <c r="AA86" s="78"/>
    </row>
    <row r="87" spans="1:32">
      <c r="A87" s="96"/>
      <c r="B87" s="96"/>
      <c r="C87" s="96"/>
      <c r="D87" s="96"/>
      <c r="E87" s="96"/>
      <c r="F87" s="96"/>
      <c r="G87" s="96"/>
      <c r="H87" s="96"/>
      <c r="I87" s="96"/>
      <c r="J87" s="96"/>
      <c r="K87" s="96"/>
      <c r="L87" s="78"/>
      <c r="M87" s="78"/>
      <c r="N87" s="78"/>
      <c r="O87" s="78"/>
      <c r="P87" s="78"/>
      <c r="Q87" s="78"/>
      <c r="R87" s="78"/>
      <c r="S87" s="78"/>
      <c r="T87" s="78"/>
      <c r="U87" s="78"/>
      <c r="V87" s="78"/>
      <c r="W87" s="78"/>
      <c r="X87" s="78"/>
      <c r="Y87" s="78"/>
      <c r="Z87" s="78"/>
      <c r="AA87" s="78"/>
    </row>
    <row r="88" spans="1:32">
      <c r="A88" s="96" t="s">
        <v>183</v>
      </c>
      <c r="B88" s="127" t="s">
        <v>188</v>
      </c>
      <c r="C88" s="127" t="s">
        <v>189</v>
      </c>
      <c r="D88" s="127" t="s">
        <v>190</v>
      </c>
      <c r="E88" s="127" t="s">
        <v>191</v>
      </c>
      <c r="F88" s="127" t="s">
        <v>192</v>
      </c>
      <c r="G88" s="127" t="s">
        <v>193</v>
      </c>
      <c r="H88" s="127" t="s">
        <v>194</v>
      </c>
      <c r="I88" s="127" t="s">
        <v>195</v>
      </c>
      <c r="J88" s="127"/>
      <c r="K88" s="96"/>
      <c r="L88" s="78"/>
      <c r="M88" s="78"/>
      <c r="N88" s="78"/>
      <c r="O88" s="78"/>
      <c r="P88" s="78"/>
      <c r="Q88" s="78"/>
      <c r="R88" s="78"/>
      <c r="S88" s="78"/>
      <c r="T88" s="78"/>
      <c r="U88" s="78"/>
      <c r="V88" s="78"/>
      <c r="W88" s="78"/>
      <c r="X88" s="78"/>
      <c r="Y88" s="78"/>
      <c r="Z88" s="78"/>
      <c r="AA88" s="78"/>
    </row>
    <row r="89" spans="1:32">
      <c r="A89" s="96" t="s">
        <v>181</v>
      </c>
      <c r="B89" s="127">
        <f>+B62</f>
        <v>0</v>
      </c>
      <c r="C89" s="127">
        <f>+C62</f>
        <v>2.88</v>
      </c>
      <c r="D89" s="127">
        <f t="shared" ref="D89:I89" si="24">+D62</f>
        <v>0</v>
      </c>
      <c r="E89" s="127">
        <f t="shared" si="24"/>
        <v>18</v>
      </c>
      <c r="F89" s="127">
        <f t="shared" si="24"/>
        <v>0</v>
      </c>
      <c r="G89" s="127">
        <f t="shared" si="24"/>
        <v>0</v>
      </c>
      <c r="H89" s="127">
        <f t="shared" si="24"/>
        <v>0</v>
      </c>
      <c r="I89" s="127">
        <f t="shared" si="24"/>
        <v>3.36</v>
      </c>
      <c r="J89" s="127"/>
      <c r="K89" s="96"/>
      <c r="L89" s="78"/>
      <c r="M89" s="78"/>
      <c r="N89" s="78"/>
      <c r="O89" s="78"/>
      <c r="P89" s="78"/>
      <c r="Q89" s="78"/>
      <c r="R89" s="78"/>
      <c r="S89" s="78"/>
      <c r="T89" s="78"/>
      <c r="U89" s="78"/>
      <c r="V89" s="78"/>
      <c r="W89" s="78"/>
      <c r="X89" s="78"/>
      <c r="Y89" s="78"/>
      <c r="Z89" s="78"/>
      <c r="AA89" s="78"/>
    </row>
    <row r="90" spans="1:32">
      <c r="A90" s="96"/>
      <c r="B90" s="127"/>
      <c r="C90" s="127"/>
      <c r="D90" s="127"/>
      <c r="E90" s="127"/>
      <c r="F90" s="127"/>
      <c r="G90" s="127"/>
      <c r="H90" s="127"/>
      <c r="I90" s="127"/>
      <c r="J90" s="127"/>
      <c r="K90" s="96"/>
      <c r="L90" s="78"/>
      <c r="M90" s="78"/>
      <c r="N90" s="78"/>
      <c r="O90" s="78"/>
      <c r="P90" s="78"/>
      <c r="Q90" s="78"/>
      <c r="R90" s="78"/>
      <c r="S90" s="78"/>
      <c r="T90" s="78"/>
      <c r="U90" s="78"/>
      <c r="V90" s="78"/>
      <c r="W90" s="78"/>
      <c r="X90" s="78"/>
      <c r="Y90" s="78"/>
      <c r="Z90" s="78"/>
      <c r="AA90" s="78"/>
    </row>
    <row r="91" spans="1:32">
      <c r="A91" s="95" t="s">
        <v>459</v>
      </c>
      <c r="B91" s="127"/>
      <c r="C91" s="127"/>
      <c r="D91" s="127"/>
      <c r="E91" s="127"/>
      <c r="F91" s="127"/>
      <c r="G91" s="127"/>
      <c r="H91" s="127"/>
      <c r="I91" s="127"/>
      <c r="J91" s="127"/>
      <c r="K91" s="96"/>
      <c r="L91" s="78"/>
      <c r="M91" s="78"/>
      <c r="N91" s="78"/>
      <c r="O91" s="78"/>
      <c r="P91" s="78"/>
      <c r="Q91" s="78"/>
      <c r="R91" s="78"/>
      <c r="S91" s="78"/>
      <c r="T91" s="78"/>
      <c r="U91" s="78"/>
      <c r="V91" s="78"/>
      <c r="W91" s="78"/>
      <c r="X91" s="78"/>
      <c r="Y91" s="78"/>
      <c r="Z91" s="78"/>
      <c r="AA91" s="78"/>
      <c r="AE91" s="245"/>
      <c r="AF91" s="245"/>
    </row>
    <row r="92" spans="1:32">
      <c r="A92" s="96"/>
      <c r="B92" s="368">
        <v>0.5</v>
      </c>
      <c r="C92" s="368">
        <v>1</v>
      </c>
      <c r="D92" s="368">
        <v>0.5</v>
      </c>
      <c r="E92" s="368">
        <v>0.2</v>
      </c>
      <c r="F92" s="368">
        <v>0.5</v>
      </c>
      <c r="G92" s="368">
        <v>0.2</v>
      </c>
      <c r="H92" s="368">
        <v>0.5</v>
      </c>
      <c r="I92" s="368">
        <v>0.2</v>
      </c>
      <c r="J92" s="127"/>
      <c r="K92" s="96"/>
      <c r="O92" s="78"/>
      <c r="P92" s="78"/>
      <c r="Q92" s="78"/>
      <c r="R92" s="78"/>
      <c r="S92" s="78"/>
      <c r="T92" s="78"/>
      <c r="U92" s="78"/>
      <c r="V92" s="78"/>
      <c r="W92" s="78"/>
      <c r="X92" s="78"/>
      <c r="Y92" s="78"/>
      <c r="Z92" s="78"/>
      <c r="AA92" s="78"/>
      <c r="AC92" s="296"/>
      <c r="AD92" s="297"/>
      <c r="AE92" s="92"/>
      <c r="AF92" s="245"/>
    </row>
    <row r="93" spans="1:32">
      <c r="A93" s="96"/>
      <c r="B93" s="127"/>
      <c r="C93" s="127"/>
      <c r="D93" s="127"/>
      <c r="E93" s="127"/>
      <c r="F93" s="127"/>
      <c r="G93" s="127"/>
      <c r="H93" s="127"/>
      <c r="I93" s="127"/>
      <c r="J93" s="127"/>
      <c r="K93" s="96"/>
      <c r="O93" s="78"/>
      <c r="P93" s="78"/>
      <c r="Q93" s="78"/>
      <c r="R93" s="78"/>
      <c r="S93" s="78"/>
      <c r="T93" s="78"/>
      <c r="U93" s="78"/>
      <c r="V93" s="78"/>
      <c r="W93" s="78"/>
      <c r="X93" s="78"/>
      <c r="Y93" s="78"/>
      <c r="Z93" s="78"/>
      <c r="AA93" s="78"/>
      <c r="AC93" s="297"/>
      <c r="AD93" s="297"/>
      <c r="AE93" s="92"/>
      <c r="AF93" s="245"/>
    </row>
    <row r="94" spans="1:32">
      <c r="A94" s="96" t="s">
        <v>183</v>
      </c>
      <c r="B94" s="127" t="s">
        <v>188</v>
      </c>
      <c r="C94" s="127" t="s">
        <v>189</v>
      </c>
      <c r="D94" s="127" t="s">
        <v>190</v>
      </c>
      <c r="E94" s="127" t="s">
        <v>191</v>
      </c>
      <c r="F94" s="127" t="s">
        <v>192</v>
      </c>
      <c r="G94" s="127" t="s">
        <v>193</v>
      </c>
      <c r="H94" s="127" t="s">
        <v>194</v>
      </c>
      <c r="I94" s="127" t="s">
        <v>195</v>
      </c>
      <c r="J94" s="127" t="s">
        <v>0</v>
      </c>
      <c r="K94" s="96"/>
      <c r="O94" s="78"/>
      <c r="P94" s="78"/>
      <c r="Q94" s="78"/>
      <c r="R94" s="78"/>
      <c r="S94" s="78"/>
      <c r="T94" s="78"/>
      <c r="U94" s="78"/>
      <c r="V94" s="78"/>
      <c r="W94" s="78"/>
      <c r="X94" s="78"/>
      <c r="Y94" s="78"/>
      <c r="Z94" s="78"/>
      <c r="AA94" s="78"/>
      <c r="AC94" s="297"/>
      <c r="AD94" s="295"/>
    </row>
    <row r="95" spans="1:32">
      <c r="A95" s="96" t="s">
        <v>187</v>
      </c>
      <c r="B95" s="96"/>
      <c r="C95" s="96"/>
      <c r="D95" s="96"/>
      <c r="E95" s="96"/>
      <c r="F95" s="96"/>
      <c r="G95" s="96"/>
      <c r="H95" s="96"/>
      <c r="I95" s="96"/>
      <c r="J95" s="96"/>
      <c r="K95" s="96"/>
      <c r="O95" s="78"/>
      <c r="P95" s="78"/>
      <c r="Q95" s="78"/>
      <c r="R95" s="78"/>
      <c r="S95" s="78"/>
      <c r="T95" s="78"/>
      <c r="U95" s="78"/>
      <c r="V95" s="78"/>
      <c r="W95" s="78"/>
      <c r="X95" s="78"/>
      <c r="Y95" s="78"/>
      <c r="Z95" s="78"/>
      <c r="AA95" s="78"/>
      <c r="AC95" s="297"/>
      <c r="AD95" s="295"/>
    </row>
    <row r="96" spans="1:32">
      <c r="A96" s="96">
        <v>0</v>
      </c>
      <c r="B96" s="98">
        <f t="shared" ref="B96:B107" si="25">+B$89*B$92*O66</f>
        <v>0</v>
      </c>
      <c r="C96" s="98">
        <f t="shared" ref="C96:C107" si="26">+C$89*C$92*P66</f>
        <v>0</v>
      </c>
      <c r="D96" s="98">
        <f t="shared" ref="D96:D107" si="27">+D$89*D$92*Q66</f>
        <v>0</v>
      </c>
      <c r="E96" s="98">
        <f t="shared" ref="E96:E107" si="28">+E$89*E$92*R66</f>
        <v>0</v>
      </c>
      <c r="F96" s="98">
        <f t="shared" ref="F96:F107" si="29">+F$89*F$92*S66</f>
        <v>0</v>
      </c>
      <c r="G96" s="98">
        <f t="shared" ref="G96:G107" si="30">+G$89*G$92*T66</f>
        <v>0</v>
      </c>
      <c r="H96" s="98">
        <f t="shared" ref="H96:H107" si="31">+H$89*H$92*U66</f>
        <v>0</v>
      </c>
      <c r="I96" s="98">
        <f t="shared" ref="I96:I107" si="32">+I$89*I$92*V66</f>
        <v>0</v>
      </c>
      <c r="J96" s="98">
        <f>SUM(B96:I96)</f>
        <v>0</v>
      </c>
      <c r="K96" s="96"/>
      <c r="O96" s="78"/>
      <c r="P96" s="78"/>
      <c r="Q96" s="78"/>
      <c r="R96" s="78"/>
      <c r="S96" s="78"/>
      <c r="T96" s="78"/>
      <c r="U96" s="78"/>
      <c r="V96" s="78"/>
      <c r="W96" s="78"/>
      <c r="X96" s="78"/>
      <c r="Y96" s="78"/>
      <c r="Z96" s="78"/>
      <c r="AA96" s="78"/>
      <c r="AC96" s="297"/>
      <c r="AD96" s="295"/>
    </row>
    <row r="97" spans="1:30">
      <c r="A97" s="96">
        <v>2</v>
      </c>
      <c r="B97" s="98">
        <f t="shared" si="25"/>
        <v>0</v>
      </c>
      <c r="C97" s="98">
        <f t="shared" si="26"/>
        <v>0</v>
      </c>
      <c r="D97" s="98">
        <f t="shared" si="27"/>
        <v>0</v>
      </c>
      <c r="E97" s="98">
        <f t="shared" si="28"/>
        <v>0</v>
      </c>
      <c r="F97" s="98">
        <f t="shared" si="29"/>
        <v>0</v>
      </c>
      <c r="G97" s="98">
        <f t="shared" si="30"/>
        <v>0</v>
      </c>
      <c r="H97" s="98">
        <f t="shared" si="31"/>
        <v>0</v>
      </c>
      <c r="I97" s="98">
        <f t="shared" si="32"/>
        <v>0</v>
      </c>
      <c r="J97" s="98">
        <f t="shared" ref="J97:J107" si="33">SUM(B97:I97)</f>
        <v>0</v>
      </c>
      <c r="K97" s="96"/>
      <c r="O97" s="78"/>
      <c r="P97" s="78"/>
      <c r="Q97" s="78"/>
      <c r="R97" s="78"/>
      <c r="S97" s="78"/>
      <c r="T97" s="78"/>
      <c r="U97" s="78"/>
      <c r="V97" s="78"/>
      <c r="W97" s="78"/>
      <c r="X97" s="78"/>
      <c r="Y97" s="78"/>
      <c r="Z97" s="78"/>
      <c r="AA97" s="78"/>
      <c r="AC97" s="297"/>
      <c r="AD97" s="295"/>
    </row>
    <row r="98" spans="1:30">
      <c r="A98" s="96">
        <v>4</v>
      </c>
      <c r="B98" s="98">
        <f t="shared" si="25"/>
        <v>0</v>
      </c>
      <c r="C98" s="98">
        <f t="shared" si="26"/>
        <v>0</v>
      </c>
      <c r="D98" s="98">
        <f t="shared" si="27"/>
        <v>0</v>
      </c>
      <c r="E98" s="98">
        <f t="shared" si="28"/>
        <v>0</v>
      </c>
      <c r="F98" s="98">
        <f t="shared" si="29"/>
        <v>0</v>
      </c>
      <c r="G98" s="98">
        <f t="shared" si="30"/>
        <v>0</v>
      </c>
      <c r="H98" s="98">
        <f t="shared" si="31"/>
        <v>0</v>
      </c>
      <c r="I98" s="98">
        <f t="shared" si="32"/>
        <v>0</v>
      </c>
      <c r="J98" s="98">
        <f t="shared" si="33"/>
        <v>0</v>
      </c>
      <c r="K98" s="96"/>
      <c r="O98" s="78"/>
      <c r="P98" s="78"/>
      <c r="Q98" s="78"/>
      <c r="R98" s="78"/>
      <c r="S98" s="78"/>
      <c r="T98" s="78"/>
      <c r="U98" s="78"/>
      <c r="V98" s="78"/>
      <c r="W98" s="78"/>
      <c r="X98" s="78"/>
      <c r="Y98" s="78"/>
      <c r="Z98" s="78"/>
      <c r="AA98" s="78"/>
      <c r="AC98" s="297"/>
      <c r="AD98" s="295"/>
    </row>
    <row r="99" spans="1:30">
      <c r="A99" s="96">
        <v>6</v>
      </c>
      <c r="B99" s="98">
        <f t="shared" si="25"/>
        <v>0</v>
      </c>
      <c r="C99" s="98">
        <f t="shared" si="26"/>
        <v>803.65823999999998</v>
      </c>
      <c r="D99" s="98">
        <f t="shared" si="27"/>
        <v>0</v>
      </c>
      <c r="E99" s="98">
        <f t="shared" si="28"/>
        <v>0</v>
      </c>
      <c r="F99" s="98">
        <f t="shared" si="29"/>
        <v>0</v>
      </c>
      <c r="G99" s="98">
        <f t="shared" si="30"/>
        <v>0</v>
      </c>
      <c r="H99" s="98">
        <f t="shared" si="31"/>
        <v>0</v>
      </c>
      <c r="I99" s="98">
        <f t="shared" si="32"/>
        <v>60.944083200000009</v>
      </c>
      <c r="J99" s="98">
        <f t="shared" si="33"/>
        <v>864.6023232</v>
      </c>
      <c r="K99" s="96"/>
      <c r="O99" s="78"/>
      <c r="P99" s="78"/>
      <c r="Q99" s="78"/>
      <c r="R99" s="78"/>
      <c r="S99" s="78"/>
      <c r="T99" s="78"/>
      <c r="U99" s="78"/>
      <c r="V99" s="78"/>
      <c r="W99" s="78"/>
      <c r="X99" s="78"/>
      <c r="Y99" s="78"/>
      <c r="Z99" s="78"/>
      <c r="AA99" s="78"/>
      <c r="AC99" s="297"/>
      <c r="AD99" s="295"/>
    </row>
    <row r="100" spans="1:30">
      <c r="A100" s="96">
        <v>8</v>
      </c>
      <c r="B100" s="98">
        <f t="shared" si="25"/>
        <v>0</v>
      </c>
      <c r="C100" s="98">
        <f t="shared" si="26"/>
        <v>1483.4191679999999</v>
      </c>
      <c r="D100" s="98">
        <f t="shared" si="27"/>
        <v>0</v>
      </c>
      <c r="E100" s="98">
        <f t="shared" si="28"/>
        <v>334.85760000000005</v>
      </c>
      <c r="F100" s="98">
        <f t="shared" si="29"/>
        <v>0</v>
      </c>
      <c r="G100" s="98">
        <f t="shared" si="30"/>
        <v>0</v>
      </c>
      <c r="H100" s="98">
        <f t="shared" si="31"/>
        <v>0</v>
      </c>
      <c r="I100" s="98">
        <f t="shared" si="32"/>
        <v>29.690707200000002</v>
      </c>
      <c r="J100" s="98">
        <f t="shared" si="33"/>
        <v>1847.9674751999999</v>
      </c>
      <c r="K100" s="96"/>
      <c r="O100" s="78"/>
      <c r="P100" s="78"/>
      <c r="Q100" s="78"/>
      <c r="R100" s="78"/>
      <c r="S100" s="78"/>
      <c r="T100" s="78"/>
      <c r="U100" s="78"/>
      <c r="V100" s="78"/>
      <c r="W100" s="78"/>
      <c r="X100" s="78"/>
      <c r="Y100" s="78"/>
      <c r="Z100" s="78"/>
      <c r="AA100" s="78"/>
      <c r="AC100" s="294"/>
      <c r="AD100" s="295"/>
    </row>
    <row r="101" spans="1:30">
      <c r="A101" s="96">
        <v>10</v>
      </c>
      <c r="B101" s="98">
        <f t="shared" si="25"/>
        <v>0</v>
      </c>
      <c r="C101" s="98">
        <f t="shared" si="26"/>
        <v>910.81267200000002</v>
      </c>
      <c r="D101" s="98">
        <f t="shared" si="27"/>
        <v>0</v>
      </c>
      <c r="E101" s="98">
        <f t="shared" si="28"/>
        <v>1084.10148</v>
      </c>
      <c r="F101" s="98">
        <f t="shared" si="29"/>
        <v>0</v>
      </c>
      <c r="G101" s="98">
        <f t="shared" si="30"/>
        <v>0</v>
      </c>
      <c r="H101" s="98">
        <f t="shared" si="31"/>
        <v>0</v>
      </c>
      <c r="I101" s="98">
        <f t="shared" si="32"/>
        <v>29.690707200000002</v>
      </c>
      <c r="J101" s="98">
        <f t="shared" si="33"/>
        <v>2024.6048592</v>
      </c>
      <c r="K101" s="96"/>
      <c r="O101" s="78"/>
      <c r="P101" s="78"/>
      <c r="Q101" s="78"/>
      <c r="R101" s="78"/>
      <c r="S101" s="78"/>
      <c r="T101" s="78"/>
      <c r="U101" s="78"/>
      <c r="V101" s="78"/>
      <c r="W101" s="78"/>
      <c r="X101" s="78"/>
      <c r="Y101" s="78"/>
      <c r="Z101" s="78"/>
      <c r="AA101" s="78"/>
      <c r="AC101" s="294"/>
      <c r="AD101" s="295"/>
    </row>
    <row r="102" spans="1:30">
      <c r="A102" s="96">
        <v>12</v>
      </c>
      <c r="B102" s="98">
        <f t="shared" si="25"/>
        <v>0</v>
      </c>
      <c r="C102" s="98">
        <f t="shared" si="26"/>
        <v>127.24588799999999</v>
      </c>
      <c r="D102" s="98">
        <f t="shared" si="27"/>
        <v>0</v>
      </c>
      <c r="E102" s="98">
        <f t="shared" si="28"/>
        <v>1402.2162000000001</v>
      </c>
      <c r="F102" s="98">
        <f t="shared" si="29"/>
        <v>0</v>
      </c>
      <c r="G102" s="98">
        <f t="shared" si="30"/>
        <v>0</v>
      </c>
      <c r="H102" s="98">
        <f t="shared" si="31"/>
        <v>0</v>
      </c>
      <c r="I102" s="98">
        <f t="shared" si="32"/>
        <v>28.128038400000005</v>
      </c>
      <c r="J102" s="98">
        <f t="shared" si="33"/>
        <v>1557.5901263999999</v>
      </c>
      <c r="K102" s="96"/>
      <c r="O102" s="78"/>
      <c r="P102" s="78"/>
      <c r="Q102" s="78"/>
      <c r="R102" s="78"/>
      <c r="S102" s="78"/>
      <c r="T102" s="78"/>
      <c r="U102" s="78"/>
      <c r="V102" s="78"/>
      <c r="W102" s="78"/>
      <c r="X102" s="78"/>
      <c r="Y102" s="78"/>
      <c r="Z102" s="78"/>
      <c r="AA102" s="78"/>
      <c r="AC102" s="293"/>
      <c r="AD102" s="293"/>
    </row>
    <row r="103" spans="1:30">
      <c r="A103" s="96">
        <v>14</v>
      </c>
      <c r="B103" s="98">
        <f t="shared" si="25"/>
        <v>0</v>
      </c>
      <c r="C103" s="98">
        <f t="shared" si="26"/>
        <v>127.24588799999999</v>
      </c>
      <c r="D103" s="98">
        <f t="shared" si="27"/>
        <v>0</v>
      </c>
      <c r="E103" s="98">
        <f t="shared" si="28"/>
        <v>1084.10148</v>
      </c>
      <c r="F103" s="98">
        <f t="shared" si="29"/>
        <v>0</v>
      </c>
      <c r="G103" s="98">
        <f t="shared" si="30"/>
        <v>0</v>
      </c>
      <c r="H103" s="98">
        <f t="shared" si="31"/>
        <v>0</v>
      </c>
      <c r="I103" s="98">
        <f t="shared" si="32"/>
        <v>29.690707200000002</v>
      </c>
      <c r="J103" s="98">
        <f t="shared" si="33"/>
        <v>1241.0380751999999</v>
      </c>
      <c r="K103" s="96"/>
      <c r="O103" s="78"/>
      <c r="P103" s="78"/>
      <c r="Q103" s="78"/>
      <c r="R103" s="78"/>
      <c r="S103" s="78"/>
      <c r="T103" s="78"/>
      <c r="U103" s="78"/>
      <c r="V103" s="78"/>
      <c r="W103" s="78"/>
      <c r="X103" s="78"/>
      <c r="Y103" s="78"/>
      <c r="Z103" s="78"/>
      <c r="AA103" s="78"/>
      <c r="AC103" s="299"/>
      <c r="AD103" s="293"/>
    </row>
    <row r="104" spans="1:30">
      <c r="A104" s="96">
        <v>16</v>
      </c>
      <c r="B104" s="98">
        <f t="shared" si="25"/>
        <v>0</v>
      </c>
      <c r="C104" s="98">
        <f t="shared" si="26"/>
        <v>107.154432</v>
      </c>
      <c r="D104" s="98">
        <f t="shared" si="27"/>
        <v>0</v>
      </c>
      <c r="E104" s="98">
        <f t="shared" si="28"/>
        <v>334.85760000000005</v>
      </c>
      <c r="F104" s="98">
        <f t="shared" si="29"/>
        <v>0</v>
      </c>
      <c r="G104" s="98">
        <f t="shared" si="30"/>
        <v>0</v>
      </c>
      <c r="H104" s="98">
        <f t="shared" si="31"/>
        <v>0</v>
      </c>
      <c r="I104" s="98">
        <f t="shared" si="32"/>
        <v>29.690707200000002</v>
      </c>
      <c r="J104" s="98">
        <f t="shared" si="33"/>
        <v>471.70273920000005</v>
      </c>
      <c r="K104" s="96"/>
      <c r="L104" s="78"/>
      <c r="M104" s="78"/>
      <c r="N104" s="78"/>
      <c r="O104" s="78"/>
      <c r="P104" s="78"/>
      <c r="Q104" s="78"/>
      <c r="R104" s="78"/>
      <c r="S104" s="78"/>
      <c r="T104" s="78"/>
      <c r="U104" s="78"/>
      <c r="V104" s="78"/>
      <c r="W104" s="78"/>
      <c r="X104" s="78"/>
      <c r="Y104" s="78"/>
      <c r="Z104" s="78"/>
      <c r="AA104" s="78"/>
      <c r="AC104" s="298"/>
      <c r="AD104" s="293"/>
    </row>
    <row r="105" spans="1:30">
      <c r="A105" s="96">
        <v>18</v>
      </c>
      <c r="B105" s="98">
        <f t="shared" si="25"/>
        <v>0</v>
      </c>
      <c r="C105" s="98">
        <f t="shared" si="26"/>
        <v>0</v>
      </c>
      <c r="D105" s="98">
        <f t="shared" si="27"/>
        <v>0</v>
      </c>
      <c r="E105" s="98">
        <f t="shared" si="28"/>
        <v>0</v>
      </c>
      <c r="F105" s="98">
        <f t="shared" si="29"/>
        <v>0</v>
      </c>
      <c r="G105" s="98">
        <f t="shared" si="30"/>
        <v>0</v>
      </c>
      <c r="H105" s="98">
        <f t="shared" si="31"/>
        <v>0</v>
      </c>
      <c r="I105" s="98">
        <f t="shared" si="32"/>
        <v>60.944083200000009</v>
      </c>
      <c r="J105" s="98">
        <f t="shared" si="33"/>
        <v>60.944083200000009</v>
      </c>
      <c r="K105" s="96"/>
      <c r="L105" s="78"/>
      <c r="M105" s="78"/>
      <c r="N105" s="78"/>
      <c r="O105" s="78"/>
      <c r="P105" s="78"/>
      <c r="Q105" s="78"/>
      <c r="R105" s="78"/>
      <c r="S105" s="78"/>
      <c r="T105" s="78"/>
      <c r="U105" s="78"/>
      <c r="V105" s="78"/>
      <c r="W105" s="78"/>
      <c r="X105" s="78"/>
      <c r="Y105" s="78"/>
      <c r="Z105" s="78"/>
      <c r="AA105" s="78"/>
      <c r="AC105" s="299"/>
      <c r="AD105" s="293"/>
    </row>
    <row r="106" spans="1:30">
      <c r="A106" s="96">
        <v>20</v>
      </c>
      <c r="B106" s="98">
        <f t="shared" si="25"/>
        <v>0</v>
      </c>
      <c r="C106" s="98">
        <f t="shared" si="26"/>
        <v>0</v>
      </c>
      <c r="D106" s="98">
        <f t="shared" si="27"/>
        <v>0</v>
      </c>
      <c r="E106" s="98">
        <f t="shared" si="28"/>
        <v>0</v>
      </c>
      <c r="F106" s="98">
        <f t="shared" si="29"/>
        <v>0</v>
      </c>
      <c r="G106" s="98">
        <f t="shared" si="30"/>
        <v>0</v>
      </c>
      <c r="H106" s="98">
        <f t="shared" si="31"/>
        <v>0</v>
      </c>
      <c r="I106" s="98">
        <f t="shared" si="32"/>
        <v>0</v>
      </c>
      <c r="J106" s="98">
        <f t="shared" si="33"/>
        <v>0</v>
      </c>
      <c r="K106" s="96"/>
      <c r="L106" s="78"/>
      <c r="M106" s="78"/>
      <c r="N106" s="78"/>
      <c r="O106" s="78"/>
      <c r="P106" s="78"/>
      <c r="Q106" s="78"/>
      <c r="R106" s="78"/>
      <c r="S106" s="78"/>
      <c r="T106" s="78"/>
      <c r="U106" s="78"/>
      <c r="V106" s="78"/>
      <c r="W106" s="78"/>
      <c r="X106" s="78"/>
      <c r="Y106" s="78"/>
      <c r="Z106" s="78"/>
      <c r="AA106" s="78"/>
    </row>
    <row r="107" spans="1:30">
      <c r="A107" s="96">
        <v>22</v>
      </c>
      <c r="B107" s="98">
        <f t="shared" si="25"/>
        <v>0</v>
      </c>
      <c r="C107" s="98">
        <f t="shared" si="26"/>
        <v>0</v>
      </c>
      <c r="D107" s="98">
        <f t="shared" si="27"/>
        <v>0</v>
      </c>
      <c r="E107" s="98">
        <f t="shared" si="28"/>
        <v>0</v>
      </c>
      <c r="F107" s="98">
        <f t="shared" si="29"/>
        <v>0</v>
      </c>
      <c r="G107" s="98">
        <f t="shared" si="30"/>
        <v>0</v>
      </c>
      <c r="H107" s="98">
        <f t="shared" si="31"/>
        <v>0</v>
      </c>
      <c r="I107" s="98">
        <f t="shared" si="32"/>
        <v>0</v>
      </c>
      <c r="J107" s="98">
        <f t="shared" si="33"/>
        <v>0</v>
      </c>
      <c r="K107" s="96"/>
      <c r="L107" s="78"/>
      <c r="M107" s="78"/>
      <c r="N107" s="78"/>
      <c r="O107" s="78"/>
      <c r="P107" s="78"/>
      <c r="Q107" s="78"/>
      <c r="R107" s="78"/>
      <c r="S107" s="78"/>
      <c r="T107" s="78"/>
      <c r="U107" s="78"/>
      <c r="V107" s="78"/>
      <c r="W107" s="78"/>
      <c r="X107" s="78"/>
      <c r="Y107" s="78"/>
      <c r="Z107" s="78"/>
      <c r="AA107" s="78"/>
    </row>
    <row r="108" spans="1:30">
      <c r="A108" s="96"/>
      <c r="B108" s="96"/>
      <c r="C108" s="96"/>
      <c r="D108" s="96"/>
      <c r="E108" s="96"/>
      <c r="F108" s="96"/>
      <c r="G108" s="96"/>
      <c r="H108" s="96"/>
      <c r="I108" s="96"/>
      <c r="J108" s="96"/>
      <c r="K108" s="96"/>
      <c r="L108" s="78"/>
      <c r="M108" s="78"/>
      <c r="N108" s="78"/>
      <c r="O108" s="78"/>
      <c r="P108" s="78"/>
      <c r="Q108" s="78"/>
      <c r="R108" s="78"/>
      <c r="S108" s="78"/>
      <c r="T108" s="78"/>
      <c r="U108" s="78"/>
      <c r="V108" s="78"/>
      <c r="W108" s="78"/>
      <c r="X108" s="78"/>
      <c r="Y108" s="78"/>
      <c r="Z108" s="78"/>
      <c r="AA108" s="78"/>
    </row>
    <row r="109" spans="1:30">
      <c r="A109" s="96"/>
      <c r="B109" s="96"/>
      <c r="C109" s="96"/>
      <c r="D109" s="96"/>
      <c r="E109" s="96"/>
      <c r="F109" s="96"/>
      <c r="G109" s="96"/>
      <c r="H109" s="96" t="s">
        <v>496</v>
      </c>
      <c r="I109" s="96"/>
      <c r="J109" s="98">
        <f>SUM(J96:J107)</f>
        <v>8068.4496815999992</v>
      </c>
      <c r="K109" s="96"/>
      <c r="L109" s="78"/>
      <c r="M109" s="78"/>
      <c r="N109" s="78"/>
      <c r="O109" s="78"/>
      <c r="P109" s="78"/>
      <c r="Q109" s="78"/>
      <c r="R109" s="78"/>
      <c r="S109" s="78"/>
      <c r="T109" s="78"/>
      <c r="U109" s="78"/>
      <c r="V109" s="78"/>
      <c r="W109" s="78"/>
      <c r="X109" s="78"/>
      <c r="Y109" s="78"/>
      <c r="Z109" s="78"/>
      <c r="AA109" s="78"/>
    </row>
    <row r="110" spans="1:30">
      <c r="A110" s="96"/>
      <c r="B110" s="96"/>
      <c r="C110" s="96"/>
      <c r="D110" s="96"/>
      <c r="E110" s="96"/>
      <c r="F110" s="96"/>
      <c r="G110" s="96"/>
      <c r="H110" s="96"/>
      <c r="I110" s="96"/>
      <c r="J110" s="96"/>
      <c r="K110" s="96"/>
      <c r="L110" s="78"/>
      <c r="M110" s="78"/>
      <c r="N110" s="78"/>
      <c r="O110" s="78"/>
      <c r="P110" s="78"/>
      <c r="Q110" s="78"/>
      <c r="R110" s="78"/>
      <c r="S110" s="78"/>
      <c r="T110" s="78"/>
      <c r="U110" s="78"/>
      <c r="V110" s="78"/>
      <c r="W110" s="78"/>
      <c r="X110" s="78"/>
      <c r="Y110" s="78"/>
      <c r="Z110" s="78"/>
      <c r="AA110" s="78"/>
    </row>
    <row r="111" spans="1:30">
      <c r="A111" s="96" t="s">
        <v>185</v>
      </c>
      <c r="B111" s="96"/>
      <c r="C111" s="96"/>
      <c r="D111" s="96"/>
      <c r="E111" s="96"/>
      <c r="F111" s="96"/>
      <c r="G111" s="96"/>
      <c r="H111" s="96"/>
      <c r="I111" s="96"/>
      <c r="J111" s="96"/>
      <c r="K111" s="96"/>
      <c r="L111" s="78"/>
      <c r="M111" s="78"/>
      <c r="N111" s="78"/>
      <c r="O111" s="78"/>
      <c r="P111" s="78"/>
      <c r="Q111" s="78"/>
      <c r="R111" s="78"/>
      <c r="S111" s="78"/>
      <c r="T111" s="78"/>
      <c r="U111" s="78"/>
      <c r="V111" s="78"/>
      <c r="W111" s="78"/>
      <c r="X111" s="78"/>
      <c r="Y111" s="78"/>
      <c r="Z111" s="78"/>
      <c r="AA111" s="78"/>
    </row>
    <row r="112" spans="1:30">
      <c r="A112" s="96"/>
      <c r="B112" s="96"/>
      <c r="C112" s="96"/>
      <c r="D112" s="96"/>
      <c r="E112" s="96"/>
      <c r="F112" s="96"/>
      <c r="G112" s="96"/>
      <c r="H112" s="96"/>
      <c r="I112" s="96"/>
      <c r="J112" s="96"/>
      <c r="K112" s="96"/>
      <c r="L112" s="78"/>
      <c r="M112" s="78"/>
      <c r="N112" s="78"/>
      <c r="O112" s="78"/>
      <c r="P112" s="78"/>
      <c r="Q112" s="78"/>
      <c r="R112" s="78"/>
      <c r="S112" s="78"/>
      <c r="T112" s="78"/>
      <c r="U112" s="78"/>
      <c r="V112" s="78"/>
      <c r="W112" s="78"/>
      <c r="X112" s="78"/>
      <c r="Y112" s="78"/>
      <c r="Z112" s="78"/>
      <c r="AA112" s="78"/>
    </row>
    <row r="113" spans="1:27" ht="14.25">
      <c r="A113" s="96" t="s">
        <v>198</v>
      </c>
      <c r="B113" s="96"/>
      <c r="C113" s="96"/>
      <c r="D113" s="96">
        <f>+superficies!D22</f>
        <v>261.89999999999998</v>
      </c>
      <c r="E113" s="96" t="s">
        <v>122</v>
      </c>
      <c r="F113" s="96"/>
      <c r="G113" s="96"/>
      <c r="H113" s="96"/>
      <c r="I113" s="96"/>
      <c r="J113" s="96"/>
      <c r="K113" s="96"/>
      <c r="L113" s="78"/>
      <c r="M113" s="78"/>
      <c r="N113" s="78"/>
      <c r="O113" s="78"/>
      <c r="P113" s="78"/>
      <c r="Q113" s="78"/>
      <c r="R113" s="78"/>
      <c r="S113" s="78"/>
      <c r="T113" s="78"/>
      <c r="U113" s="78"/>
      <c r="V113" s="78"/>
      <c r="W113" s="78"/>
      <c r="X113" s="78"/>
      <c r="Y113" s="78"/>
      <c r="Z113" s="78"/>
      <c r="AA113" s="78"/>
    </row>
    <row r="114" spans="1:27">
      <c r="A114" s="96" t="s">
        <v>211</v>
      </c>
      <c r="B114" s="96"/>
      <c r="C114" s="96"/>
      <c r="D114" s="96">
        <f>+'Balance calefacción'!C19</f>
        <v>0.89502000000000004</v>
      </c>
      <c r="E114" s="96"/>
      <c r="F114" s="96"/>
      <c r="G114" s="96"/>
      <c r="H114" s="96"/>
      <c r="I114" s="96"/>
      <c r="J114" s="96"/>
      <c r="K114" s="96"/>
      <c r="L114" s="78"/>
      <c r="M114" s="78"/>
      <c r="N114" s="78"/>
      <c r="O114" s="78"/>
      <c r="P114" s="78"/>
      <c r="Q114" s="78"/>
      <c r="R114" s="78"/>
      <c r="S114" s="78"/>
      <c r="T114" s="78"/>
      <c r="U114" s="78"/>
      <c r="V114" s="78"/>
      <c r="W114" s="78"/>
      <c r="X114" s="78"/>
      <c r="Y114" s="78"/>
      <c r="Z114" s="78"/>
      <c r="AA114" s="78"/>
    </row>
    <row r="115" spans="1:27">
      <c r="A115" s="96" t="s">
        <v>218</v>
      </c>
      <c r="B115" s="96"/>
      <c r="C115" s="96"/>
      <c r="D115" s="96">
        <f>+G266</f>
        <v>24</v>
      </c>
      <c r="E115" s="96" t="s">
        <v>98</v>
      </c>
      <c r="F115" s="96"/>
      <c r="G115" s="96"/>
      <c r="H115" s="96"/>
      <c r="I115" s="96"/>
      <c r="J115" s="96"/>
      <c r="K115" s="96"/>
      <c r="L115" s="78"/>
      <c r="M115" s="78"/>
      <c r="N115" s="78"/>
      <c r="O115" s="78"/>
      <c r="P115" s="78"/>
      <c r="Q115" s="78"/>
      <c r="R115" s="78"/>
      <c r="S115" s="78"/>
      <c r="T115" s="78"/>
      <c r="U115" s="78"/>
      <c r="V115" s="78"/>
      <c r="W115" s="78"/>
      <c r="X115" s="78"/>
      <c r="Y115" s="78"/>
      <c r="Z115" s="78"/>
      <c r="AA115" s="78"/>
    </row>
    <row r="116" spans="1:27">
      <c r="A116" s="96" t="s">
        <v>2</v>
      </c>
      <c r="B116" s="96"/>
      <c r="C116" s="96"/>
      <c r="D116" s="96" t="s">
        <v>2</v>
      </c>
      <c r="E116" s="96"/>
      <c r="F116" s="96"/>
      <c r="G116" s="96"/>
      <c r="H116" s="96"/>
      <c r="I116" s="96"/>
      <c r="J116" s="96"/>
      <c r="K116" s="96"/>
      <c r="L116" s="78"/>
      <c r="M116" s="78"/>
      <c r="N116" s="78"/>
      <c r="O116" s="78"/>
      <c r="P116" s="78"/>
      <c r="Q116" s="78"/>
      <c r="R116" s="78"/>
      <c r="S116" s="78"/>
      <c r="T116" s="78"/>
      <c r="U116" s="78"/>
      <c r="V116" s="78"/>
      <c r="W116" s="78"/>
      <c r="X116" s="78"/>
      <c r="Y116" s="78"/>
      <c r="Z116" s="78"/>
      <c r="AA116" s="78"/>
    </row>
    <row r="117" spans="1:27">
      <c r="A117" s="96"/>
      <c r="B117" s="96"/>
      <c r="C117" s="96"/>
      <c r="D117" s="96"/>
      <c r="E117" s="96"/>
      <c r="F117" s="96"/>
      <c r="G117" s="96"/>
      <c r="H117" s="96"/>
      <c r="I117" s="96"/>
      <c r="J117" s="96"/>
      <c r="K117" s="96"/>
      <c r="L117" s="78"/>
      <c r="M117" s="78"/>
      <c r="N117" s="78"/>
      <c r="O117" s="78"/>
      <c r="P117" s="78"/>
      <c r="Q117" s="78"/>
      <c r="R117" s="78"/>
      <c r="S117" s="78"/>
      <c r="T117" s="78"/>
      <c r="U117" s="78"/>
      <c r="V117" s="78"/>
      <c r="W117" s="78"/>
      <c r="X117" s="78"/>
      <c r="Y117" s="78"/>
      <c r="Z117" s="78"/>
      <c r="AA117" s="78"/>
    </row>
    <row r="118" spans="1:27">
      <c r="A118" s="96" t="s">
        <v>219</v>
      </c>
      <c r="B118" s="96"/>
      <c r="C118" s="96"/>
      <c r="D118" s="96"/>
      <c r="E118" s="96"/>
      <c r="F118" s="96"/>
      <c r="G118" s="96"/>
      <c r="H118" s="96"/>
      <c r="I118" s="96"/>
      <c r="J118" s="96"/>
      <c r="K118" s="96"/>
      <c r="L118" s="78"/>
      <c r="M118" s="78"/>
      <c r="N118" s="78"/>
      <c r="O118" s="78"/>
      <c r="P118" s="78"/>
      <c r="Q118" s="78"/>
      <c r="R118" s="78"/>
      <c r="S118" s="78"/>
      <c r="T118" s="78"/>
      <c r="U118" s="78"/>
      <c r="V118" s="78"/>
      <c r="W118" s="78"/>
      <c r="X118" s="78"/>
      <c r="Y118" s="78"/>
      <c r="Z118" s="78"/>
      <c r="AA118" s="78"/>
    </row>
    <row r="119" spans="1:27" ht="15" customHeight="1">
      <c r="A119" s="96"/>
      <c r="B119" s="96"/>
      <c r="C119" s="96"/>
      <c r="D119" s="96"/>
      <c r="E119" s="96"/>
      <c r="F119" s="96"/>
      <c r="G119" s="96"/>
      <c r="H119" s="96"/>
      <c r="I119" s="96"/>
      <c r="J119" s="96"/>
      <c r="K119" s="96"/>
      <c r="L119" s="78"/>
      <c r="M119" s="78"/>
      <c r="N119" s="78"/>
      <c r="O119" s="78"/>
      <c r="P119" s="78"/>
      <c r="Q119" s="78"/>
      <c r="R119" s="78"/>
      <c r="S119" s="78"/>
      <c r="T119" s="78"/>
      <c r="U119" s="78"/>
      <c r="V119" s="78"/>
      <c r="W119" s="78"/>
      <c r="X119" s="78"/>
      <c r="Y119" s="78"/>
      <c r="Z119" s="78"/>
      <c r="AA119" s="78"/>
    </row>
    <row r="120" spans="1:27">
      <c r="A120" s="96" t="s">
        <v>220</v>
      </c>
      <c r="B120" s="96"/>
      <c r="C120" s="96"/>
      <c r="D120" s="96"/>
      <c r="E120" s="96"/>
      <c r="F120" s="96"/>
      <c r="G120" s="96"/>
      <c r="H120" s="96"/>
      <c r="I120" s="96"/>
      <c r="J120" s="96"/>
      <c r="K120" s="96"/>
      <c r="L120" s="78"/>
      <c r="M120" s="78"/>
      <c r="N120" s="78"/>
      <c r="O120" s="78"/>
      <c r="P120" s="78"/>
      <c r="Q120" s="78"/>
      <c r="R120" s="78"/>
      <c r="S120" s="78"/>
      <c r="T120" s="78"/>
      <c r="U120" s="78"/>
      <c r="V120" s="78"/>
      <c r="W120" s="78"/>
      <c r="X120" s="78"/>
      <c r="Y120" s="78"/>
      <c r="Z120" s="78"/>
      <c r="AA120" s="78"/>
    </row>
    <row r="121" spans="1:27">
      <c r="A121" s="96" t="s">
        <v>187</v>
      </c>
      <c r="B121" s="96" t="s">
        <v>210</v>
      </c>
      <c r="C121" s="96" t="s">
        <v>2</v>
      </c>
      <c r="D121" s="96"/>
      <c r="E121" s="96"/>
      <c r="F121" s="96"/>
      <c r="G121" s="96"/>
      <c r="H121" s="96"/>
      <c r="I121" s="96"/>
      <c r="J121" s="96"/>
      <c r="K121" s="96"/>
      <c r="L121" s="78"/>
      <c r="M121" s="78"/>
      <c r="N121" s="78"/>
      <c r="O121" s="78"/>
      <c r="P121" s="78"/>
      <c r="Q121" s="78"/>
      <c r="R121" s="78"/>
      <c r="S121" s="78"/>
      <c r="T121" s="78"/>
      <c r="U121" s="78"/>
      <c r="V121" s="78"/>
      <c r="W121" s="78"/>
      <c r="X121" s="78"/>
      <c r="Y121" s="78"/>
      <c r="Z121" s="78"/>
      <c r="AA121" s="78"/>
    </row>
    <row r="122" spans="1:27">
      <c r="A122" s="96">
        <v>0</v>
      </c>
      <c r="B122" s="96">
        <f>+'Balance calefacción'!D20</f>
        <v>0.5</v>
      </c>
      <c r="C122" s="96">
        <f t="shared" ref="C122:C133" si="34">0.35*$D$113*$D$114*(AA12-$G$266)*B122</f>
        <v>-83.067533403749934</v>
      </c>
      <c r="D122" s="96"/>
      <c r="E122" s="96"/>
      <c r="F122" s="96"/>
      <c r="G122" s="96"/>
      <c r="H122" s="96"/>
      <c r="I122" s="96"/>
      <c r="J122" s="96"/>
      <c r="K122" s="96"/>
      <c r="L122" s="78"/>
      <c r="M122" s="78"/>
      <c r="N122" s="78"/>
      <c r="O122" s="78"/>
      <c r="P122" s="78"/>
      <c r="Q122" s="78"/>
      <c r="R122" s="78"/>
      <c r="S122" s="78"/>
      <c r="T122" s="78"/>
      <c r="U122" s="78"/>
      <c r="V122" s="78"/>
      <c r="W122" s="78"/>
      <c r="X122" s="78"/>
      <c r="Y122" s="78"/>
      <c r="Z122" s="78"/>
      <c r="AA122" s="78"/>
    </row>
    <row r="123" spans="1:27">
      <c r="A123" s="96">
        <v>2</v>
      </c>
      <c r="B123" s="96">
        <f>+B122</f>
        <v>0.5</v>
      </c>
      <c r="C123" s="96">
        <f t="shared" si="34"/>
        <v>-125.62682520937484</v>
      </c>
      <c r="D123" s="96"/>
      <c r="E123" s="96"/>
      <c r="F123" s="96"/>
      <c r="G123" s="96"/>
      <c r="H123" s="96"/>
      <c r="I123" s="96"/>
      <c r="J123" s="96"/>
      <c r="K123" s="96"/>
      <c r="L123" s="78"/>
      <c r="M123" s="78"/>
      <c r="N123" s="78"/>
      <c r="O123" s="78"/>
      <c r="P123" s="78"/>
      <c r="Q123" s="78"/>
      <c r="R123" s="78"/>
      <c r="S123" s="78"/>
      <c r="T123" s="78"/>
      <c r="U123" s="78"/>
      <c r="V123" s="78"/>
      <c r="W123" s="78"/>
      <c r="X123" s="78"/>
      <c r="Y123" s="78"/>
      <c r="Z123" s="78"/>
      <c r="AA123" s="78"/>
    </row>
    <row r="124" spans="1:27">
      <c r="A124" s="96">
        <v>4</v>
      </c>
      <c r="B124" s="96">
        <f t="shared" ref="B124:B133" si="35">+B123</f>
        <v>0.5</v>
      </c>
      <c r="C124" s="96">
        <f t="shared" si="34"/>
        <v>-168.18611701499989</v>
      </c>
      <c r="D124" s="96"/>
      <c r="E124" s="96"/>
      <c r="F124" s="96"/>
      <c r="G124" s="96"/>
      <c r="H124" s="96"/>
      <c r="I124" s="96"/>
      <c r="J124" s="96"/>
      <c r="K124" s="96"/>
      <c r="L124" s="78"/>
      <c r="M124" s="78"/>
      <c r="N124" s="78"/>
      <c r="O124" s="78"/>
      <c r="P124" s="78"/>
      <c r="Q124" s="78"/>
      <c r="R124" s="78"/>
      <c r="S124" s="78"/>
      <c r="T124" s="78"/>
      <c r="U124" s="78"/>
      <c r="V124" s="78"/>
      <c r="W124" s="78"/>
      <c r="X124" s="78"/>
      <c r="Y124" s="78"/>
      <c r="Z124" s="78"/>
      <c r="AA124" s="78"/>
    </row>
    <row r="125" spans="1:27">
      <c r="A125" s="96">
        <v>6</v>
      </c>
      <c r="B125" s="96">
        <f t="shared" si="35"/>
        <v>0.5</v>
      </c>
      <c r="C125" s="96">
        <f t="shared" si="34"/>
        <v>-196.90081991999986</v>
      </c>
      <c r="D125" s="96"/>
      <c r="E125" s="96"/>
      <c r="F125" s="96"/>
      <c r="G125" s="96"/>
      <c r="H125" s="96"/>
      <c r="I125" s="96"/>
      <c r="J125" s="96"/>
      <c r="K125" s="96"/>
      <c r="L125" s="78"/>
      <c r="M125" s="78"/>
      <c r="N125" s="78"/>
      <c r="O125" s="78"/>
      <c r="P125" s="78"/>
      <c r="Q125" s="78"/>
      <c r="R125" s="78"/>
      <c r="S125" s="78"/>
      <c r="T125" s="78"/>
      <c r="U125" s="78"/>
      <c r="V125" s="78"/>
      <c r="W125" s="78"/>
      <c r="X125" s="78"/>
      <c r="Y125" s="78"/>
      <c r="Z125" s="78"/>
      <c r="AA125" s="78"/>
    </row>
    <row r="126" spans="1:27">
      <c r="A126" s="96">
        <v>8</v>
      </c>
      <c r="B126" s="96">
        <f t="shared" si="35"/>
        <v>0.5</v>
      </c>
      <c r="C126" s="96">
        <f t="shared" si="34"/>
        <v>-139.9841766618749</v>
      </c>
      <c r="D126" s="96"/>
      <c r="E126" s="96"/>
      <c r="F126" s="96"/>
      <c r="G126" s="96"/>
      <c r="H126" s="96"/>
      <c r="I126" s="96"/>
      <c r="J126" s="96"/>
      <c r="K126" s="96"/>
      <c r="L126" s="78"/>
      <c r="M126" s="78"/>
      <c r="N126" s="78"/>
      <c r="O126" s="78"/>
      <c r="P126" s="78"/>
      <c r="Q126" s="78"/>
      <c r="R126" s="78"/>
      <c r="S126" s="78"/>
      <c r="T126" s="78"/>
      <c r="U126" s="78"/>
      <c r="V126" s="78"/>
      <c r="W126" s="78"/>
      <c r="X126" s="78"/>
      <c r="Y126" s="78"/>
      <c r="Z126" s="78"/>
      <c r="AA126" s="78"/>
    </row>
    <row r="127" spans="1:27">
      <c r="A127" s="96">
        <v>10</v>
      </c>
      <c r="B127" s="96">
        <f t="shared" si="35"/>
        <v>0.5</v>
      </c>
      <c r="C127" s="96">
        <f t="shared" si="34"/>
        <v>102.03974782312517</v>
      </c>
      <c r="D127" s="96"/>
      <c r="E127" s="96"/>
      <c r="F127" s="96"/>
      <c r="G127" s="96"/>
      <c r="H127" s="96"/>
      <c r="I127" s="96"/>
      <c r="J127" s="96"/>
      <c r="K127" s="96"/>
      <c r="L127" s="78"/>
      <c r="M127" s="78"/>
      <c r="N127" s="78"/>
      <c r="O127" s="78"/>
      <c r="P127" s="78"/>
      <c r="Q127" s="78"/>
      <c r="R127" s="78"/>
      <c r="S127" s="78"/>
      <c r="T127" s="78"/>
      <c r="U127" s="78"/>
      <c r="V127" s="78"/>
      <c r="W127" s="78"/>
      <c r="X127" s="78"/>
      <c r="Y127" s="78"/>
      <c r="Z127" s="78"/>
      <c r="AA127" s="78"/>
    </row>
    <row r="128" spans="1:27">
      <c r="A128" s="96">
        <v>12</v>
      </c>
      <c r="B128" s="96">
        <f t="shared" si="35"/>
        <v>0.5</v>
      </c>
      <c r="C128" s="96">
        <f t="shared" si="34"/>
        <v>244.58773724437506</v>
      </c>
      <c r="D128" s="96"/>
      <c r="E128" s="96"/>
      <c r="F128" s="96"/>
      <c r="G128" s="96"/>
      <c r="H128" s="96"/>
      <c r="I128" s="96"/>
      <c r="J128" s="96"/>
      <c r="K128" s="96"/>
      <c r="L128" s="78"/>
      <c r="M128" s="78"/>
      <c r="N128" s="78"/>
      <c r="O128" s="78"/>
      <c r="P128" s="78"/>
      <c r="Q128" s="78"/>
      <c r="R128" s="78"/>
      <c r="S128" s="78"/>
      <c r="T128" s="78"/>
      <c r="U128" s="78"/>
      <c r="V128" s="78"/>
      <c r="W128" s="78"/>
      <c r="X128" s="78"/>
      <c r="Y128" s="78"/>
      <c r="Z128" s="78"/>
      <c r="AA128" s="78"/>
    </row>
    <row r="129" spans="1:31">
      <c r="A129" s="96">
        <v>14</v>
      </c>
      <c r="B129" s="96">
        <f t="shared" si="35"/>
        <v>0.5</v>
      </c>
      <c r="C129" s="96">
        <f t="shared" si="34"/>
        <v>315.8617319550001</v>
      </c>
      <c r="D129" s="96"/>
      <c r="E129" s="96"/>
      <c r="F129" s="96"/>
      <c r="G129" s="96"/>
      <c r="H129" s="96"/>
      <c r="I129" s="96"/>
      <c r="J129" s="96"/>
      <c r="K129" s="96"/>
      <c r="L129" s="78"/>
      <c r="M129" s="78"/>
      <c r="N129" s="78"/>
      <c r="O129" s="78"/>
      <c r="P129" s="78"/>
      <c r="Q129" s="78"/>
      <c r="R129" s="78"/>
      <c r="S129" s="78"/>
      <c r="T129" s="78"/>
      <c r="U129" s="78"/>
      <c r="V129" s="78"/>
      <c r="W129" s="78"/>
      <c r="X129" s="78"/>
      <c r="Y129" s="78"/>
      <c r="Z129" s="78"/>
      <c r="AA129" s="78"/>
    </row>
    <row r="130" spans="1:31">
      <c r="A130" s="96">
        <v>16</v>
      </c>
      <c r="B130" s="96">
        <f t="shared" si="35"/>
        <v>0.5</v>
      </c>
      <c r="C130" s="96">
        <f t="shared" si="34"/>
        <v>273.30244014937506</v>
      </c>
      <c r="D130" s="96"/>
      <c r="E130" s="96"/>
      <c r="F130" s="96"/>
      <c r="G130" s="96"/>
      <c r="H130" s="96"/>
      <c r="I130" s="96"/>
      <c r="J130" s="96"/>
      <c r="K130" s="96"/>
      <c r="L130" s="78"/>
      <c r="M130" s="78"/>
      <c r="N130" s="78"/>
      <c r="O130" s="78"/>
      <c r="P130" s="78"/>
      <c r="Q130" s="78"/>
      <c r="R130" s="78"/>
      <c r="S130" s="78"/>
      <c r="T130" s="78"/>
      <c r="U130" s="78"/>
      <c r="V130" s="78"/>
      <c r="W130" s="78"/>
      <c r="X130" s="78"/>
      <c r="Y130" s="78"/>
      <c r="Z130" s="78"/>
      <c r="AA130" s="78"/>
    </row>
    <row r="131" spans="1:31">
      <c r="A131" s="96">
        <v>18</v>
      </c>
      <c r="B131" s="96">
        <f t="shared" si="35"/>
        <v>0.5</v>
      </c>
      <c r="C131" s="96">
        <f t="shared" si="34"/>
        <v>158.95639108124999</v>
      </c>
      <c r="D131" s="96"/>
      <c r="E131" s="96"/>
      <c r="F131" s="96"/>
      <c r="G131" s="96"/>
      <c r="H131" s="96"/>
      <c r="I131" s="96"/>
      <c r="J131" s="96"/>
      <c r="K131" s="96"/>
      <c r="L131" s="78"/>
      <c r="M131" s="78"/>
      <c r="N131" s="78"/>
      <c r="O131" s="78"/>
      <c r="P131" s="78"/>
      <c r="Q131" s="78"/>
      <c r="R131" s="78"/>
      <c r="S131" s="78"/>
      <c r="T131" s="78"/>
      <c r="U131" s="78"/>
      <c r="V131" s="78"/>
      <c r="W131" s="78"/>
      <c r="X131" s="78"/>
      <c r="Y131" s="78"/>
      <c r="Z131" s="78"/>
      <c r="AA131" s="78"/>
    </row>
    <row r="132" spans="1:31">
      <c r="A132" s="96">
        <v>20</v>
      </c>
      <c r="B132" s="96">
        <f t="shared" si="35"/>
        <v>0.5</v>
      </c>
      <c r="C132" s="96">
        <f t="shared" si="34"/>
        <v>30.765753112500143</v>
      </c>
      <c r="D132" s="96"/>
      <c r="E132" s="96"/>
      <c r="F132" s="96"/>
      <c r="G132" s="96"/>
      <c r="H132" s="96"/>
      <c r="I132" s="96"/>
      <c r="J132" s="96"/>
      <c r="K132" s="96"/>
      <c r="L132" s="78"/>
      <c r="M132" s="78"/>
      <c r="N132" s="78"/>
      <c r="O132" s="78"/>
      <c r="P132" s="78"/>
      <c r="Q132" s="78"/>
      <c r="R132" s="78"/>
      <c r="S132" s="78"/>
      <c r="T132" s="78"/>
      <c r="U132" s="78"/>
      <c r="V132" s="78"/>
      <c r="W132" s="78"/>
      <c r="X132" s="78"/>
      <c r="Y132" s="78"/>
      <c r="Z132" s="78"/>
      <c r="AA132" s="78"/>
    </row>
    <row r="133" spans="1:31">
      <c r="A133" s="96">
        <v>22</v>
      </c>
      <c r="B133" s="96">
        <f t="shared" si="35"/>
        <v>0.5</v>
      </c>
      <c r="C133" s="96">
        <f t="shared" si="34"/>
        <v>-38.45719139062485</v>
      </c>
      <c r="D133" s="96"/>
      <c r="E133" s="96"/>
      <c r="F133" s="96"/>
      <c r="G133" s="96"/>
      <c r="H133" s="96"/>
      <c r="I133" s="96"/>
      <c r="J133" s="96"/>
      <c r="K133" s="96"/>
      <c r="L133" s="78"/>
      <c r="M133" s="78"/>
      <c r="N133" s="78"/>
      <c r="O133" s="78"/>
      <c r="P133" s="78"/>
      <c r="Q133" s="78"/>
      <c r="R133" s="78"/>
      <c r="S133" s="78"/>
      <c r="T133" s="78"/>
      <c r="U133" s="78"/>
      <c r="V133" s="78"/>
      <c r="W133" s="78"/>
      <c r="X133" s="78"/>
      <c r="Y133" s="78"/>
      <c r="Z133" s="78"/>
      <c r="AA133" s="78"/>
    </row>
    <row r="134" spans="1:31">
      <c r="A134" s="96"/>
      <c r="B134" s="96"/>
      <c r="C134" s="96"/>
      <c r="D134" s="96"/>
      <c r="E134" s="96"/>
      <c r="F134" s="96"/>
      <c r="G134" s="96"/>
      <c r="H134" s="96"/>
      <c r="I134" s="96"/>
      <c r="J134" s="96"/>
      <c r="K134" s="96"/>
      <c r="L134" s="78"/>
      <c r="M134" s="78"/>
      <c r="N134" s="78"/>
      <c r="O134" s="78"/>
      <c r="P134" s="78"/>
      <c r="Q134" s="78"/>
      <c r="R134" s="78"/>
      <c r="S134" s="78"/>
      <c r="T134" s="78"/>
      <c r="U134" s="78"/>
      <c r="V134" s="78"/>
      <c r="W134" s="78"/>
      <c r="X134" s="78"/>
      <c r="Y134" s="78"/>
      <c r="Z134" s="78"/>
      <c r="AA134" s="78"/>
    </row>
    <row r="135" spans="1:31">
      <c r="A135" s="96"/>
      <c r="B135" s="96" t="s">
        <v>496</v>
      </c>
      <c r="C135" s="96">
        <f>SUM(C122:C133)</f>
        <v>373.29113776500105</v>
      </c>
      <c r="D135" s="96"/>
      <c r="E135" s="96"/>
      <c r="F135" s="96"/>
      <c r="G135" s="96"/>
      <c r="H135" s="96"/>
      <c r="I135" s="96"/>
      <c r="J135" s="96"/>
      <c r="K135" s="96"/>
      <c r="L135" s="78"/>
      <c r="M135" s="78"/>
      <c r="N135" s="78"/>
      <c r="O135" s="78"/>
      <c r="P135" s="78"/>
      <c r="Q135" s="78"/>
      <c r="R135" s="78"/>
      <c r="S135" s="78"/>
      <c r="T135" s="78"/>
      <c r="U135" s="78"/>
      <c r="V135" s="78"/>
      <c r="W135" s="78"/>
      <c r="X135" s="78"/>
      <c r="Y135" s="78"/>
      <c r="Z135" s="78"/>
      <c r="AA135" s="78"/>
    </row>
    <row r="136" spans="1:31">
      <c r="A136" s="96"/>
      <c r="B136" s="96"/>
      <c r="C136" s="96"/>
      <c r="D136" s="96"/>
      <c r="E136" s="96"/>
      <c r="F136" s="96"/>
      <c r="G136" s="96"/>
      <c r="H136" s="96"/>
      <c r="I136" s="96"/>
      <c r="J136" s="96"/>
      <c r="K136" s="96"/>
      <c r="L136" s="78"/>
      <c r="M136" s="78"/>
      <c r="N136" s="78"/>
      <c r="O136" s="78"/>
      <c r="P136" s="78"/>
      <c r="Q136" s="78"/>
      <c r="R136" s="78"/>
      <c r="S136" s="78"/>
      <c r="T136" s="78"/>
      <c r="U136" s="78"/>
      <c r="V136" s="78"/>
      <c r="W136" s="78"/>
      <c r="X136" s="78"/>
      <c r="Y136" s="78"/>
      <c r="Z136" s="78"/>
      <c r="AA136" s="78"/>
    </row>
    <row r="137" spans="1:31">
      <c r="A137" s="96"/>
      <c r="B137" s="96"/>
      <c r="C137" s="96"/>
      <c r="D137" s="96"/>
      <c r="E137" s="96"/>
      <c r="F137" s="96"/>
      <c r="G137" s="96"/>
      <c r="H137" s="96"/>
      <c r="I137" s="96"/>
      <c r="J137" s="96"/>
      <c r="K137" s="96"/>
      <c r="L137" s="78"/>
      <c r="M137" s="78"/>
      <c r="N137" s="78"/>
      <c r="O137" s="78"/>
      <c r="P137" s="78"/>
      <c r="Q137" s="78"/>
      <c r="R137" s="78"/>
      <c r="S137" s="78"/>
      <c r="T137" s="78"/>
      <c r="U137" s="78"/>
      <c r="V137" s="78"/>
      <c r="W137" s="78"/>
      <c r="X137" s="78"/>
      <c r="Y137" s="78"/>
      <c r="Z137" s="78"/>
      <c r="AA137" s="78"/>
    </row>
    <row r="138" spans="1:31">
      <c r="A138" s="96"/>
      <c r="B138" s="96"/>
      <c r="C138" s="96"/>
      <c r="D138" s="96"/>
      <c r="E138" s="96"/>
      <c r="F138" s="96"/>
      <c r="G138" s="96"/>
      <c r="H138" s="96"/>
      <c r="I138" s="96"/>
      <c r="J138" s="96"/>
      <c r="K138" s="96"/>
      <c r="L138" s="78"/>
      <c r="M138" s="78"/>
      <c r="N138" s="78"/>
      <c r="O138" s="78"/>
      <c r="P138" s="78"/>
      <c r="Q138" s="78"/>
      <c r="R138" s="78"/>
      <c r="S138" s="78"/>
      <c r="T138" s="78"/>
      <c r="U138" s="78"/>
      <c r="V138" s="78"/>
      <c r="W138" s="78"/>
      <c r="X138" s="78"/>
      <c r="Y138" s="78"/>
      <c r="Z138" s="78"/>
      <c r="AA138" s="78"/>
    </row>
    <row r="139" spans="1:31">
      <c r="A139" s="96"/>
      <c r="B139" s="96"/>
      <c r="C139" s="96"/>
      <c r="D139" s="96"/>
      <c r="E139" s="96"/>
      <c r="F139" s="96"/>
      <c r="G139" s="96"/>
      <c r="H139" s="96"/>
      <c r="I139" s="96"/>
      <c r="J139" s="96"/>
      <c r="K139" s="96"/>
      <c r="L139" s="78"/>
      <c r="M139" s="78"/>
      <c r="N139" s="78"/>
      <c r="O139" s="78"/>
      <c r="P139" s="78"/>
      <c r="Q139" s="78"/>
      <c r="R139" s="78"/>
      <c r="S139" s="78"/>
      <c r="T139" s="78"/>
      <c r="U139" s="78"/>
      <c r="V139" s="78"/>
      <c r="W139" s="78"/>
      <c r="X139" s="78"/>
      <c r="Y139" s="78"/>
      <c r="Z139" s="78"/>
      <c r="AA139" s="78"/>
    </row>
    <row r="140" spans="1:31">
      <c r="A140" s="96"/>
      <c r="B140" s="96"/>
      <c r="C140" s="96"/>
      <c r="D140" s="96"/>
      <c r="E140" s="96"/>
      <c r="F140" s="96"/>
      <c r="G140" s="96"/>
      <c r="H140" s="96"/>
      <c r="I140" s="96"/>
      <c r="J140" s="96"/>
      <c r="K140" s="96"/>
      <c r="L140" s="78"/>
      <c r="M140" s="78"/>
      <c r="N140" s="78"/>
      <c r="O140" s="78"/>
      <c r="S140" s="78"/>
      <c r="T140" s="78"/>
      <c r="U140" s="78"/>
      <c r="V140" s="78"/>
      <c r="W140" s="78"/>
      <c r="X140" s="78"/>
      <c r="Y140" s="78"/>
      <c r="Z140" s="78"/>
      <c r="AA140" s="78"/>
      <c r="AC140" s="654"/>
      <c r="AD140" s="290"/>
      <c r="AE140" s="290"/>
    </row>
    <row r="141" spans="1:31">
      <c r="A141" s="95" t="s">
        <v>199</v>
      </c>
      <c r="B141" s="96"/>
      <c r="C141" s="96"/>
      <c r="D141" s="96"/>
      <c r="E141" s="96"/>
      <c r="F141" s="96"/>
      <c r="G141" s="96"/>
      <c r="H141" s="96"/>
      <c r="I141" s="96"/>
      <c r="J141" s="96"/>
      <c r="K141" s="96"/>
      <c r="L141" s="78"/>
      <c r="M141" s="78"/>
      <c r="N141" s="78"/>
      <c r="O141" s="78"/>
      <c r="S141" s="78"/>
      <c r="T141" s="78"/>
      <c r="U141" s="78"/>
      <c r="V141" s="78"/>
      <c r="W141" s="78"/>
      <c r="X141" s="78"/>
      <c r="Y141" s="78"/>
      <c r="Z141" s="78"/>
      <c r="AA141" s="78"/>
      <c r="AC141" s="654"/>
      <c r="AD141" s="290"/>
      <c r="AE141" s="290"/>
    </row>
    <row r="142" spans="1:31">
      <c r="A142" s="95" t="s">
        <v>450</v>
      </c>
      <c r="B142" s="96"/>
      <c r="C142" s="96"/>
      <c r="D142" s="96"/>
      <c r="E142" s="96"/>
      <c r="F142" s="96"/>
      <c r="G142" s="96"/>
      <c r="H142" s="96"/>
      <c r="I142" s="96"/>
      <c r="J142" s="96"/>
      <c r="K142" s="96"/>
      <c r="L142" s="78"/>
      <c r="M142" s="78"/>
      <c r="N142" s="78"/>
      <c r="O142" s="78"/>
      <c r="S142" s="78"/>
      <c r="T142" s="78"/>
      <c r="U142" s="78"/>
      <c r="V142" s="78"/>
      <c r="W142" s="78"/>
      <c r="X142" s="78"/>
      <c r="Y142" s="78"/>
      <c r="Z142" s="78"/>
      <c r="AA142" s="78"/>
      <c r="AC142" s="288"/>
      <c r="AD142" s="289"/>
      <c r="AE142" s="288"/>
    </row>
    <row r="143" spans="1:31">
      <c r="A143" s="96"/>
      <c r="B143" s="96"/>
      <c r="C143" s="96"/>
      <c r="D143" s="96"/>
      <c r="E143" s="96"/>
      <c r="F143" s="96"/>
      <c r="G143" s="96"/>
      <c r="H143" s="96"/>
      <c r="I143" s="96"/>
      <c r="J143" s="96"/>
      <c r="K143" s="96"/>
      <c r="L143" s="78"/>
      <c r="M143" s="78"/>
      <c r="N143" s="78"/>
      <c r="O143" s="78"/>
      <c r="S143" s="78"/>
      <c r="T143" s="78"/>
      <c r="U143" s="78"/>
      <c r="V143" s="78"/>
      <c r="W143" s="78"/>
      <c r="X143" s="78"/>
      <c r="Y143" s="78"/>
      <c r="Z143" s="78"/>
      <c r="AA143" s="78"/>
      <c r="AC143" s="288"/>
      <c r="AD143" s="289"/>
      <c r="AE143" s="288"/>
    </row>
    <row r="144" spans="1:31">
      <c r="A144" s="96" t="s">
        <v>273</v>
      </c>
      <c r="B144" s="96"/>
      <c r="C144" s="96"/>
      <c r="D144" s="96"/>
      <c r="E144" s="96" t="s">
        <v>2</v>
      </c>
      <c r="F144" s="96"/>
      <c r="G144" s="96"/>
      <c r="H144" s="96"/>
      <c r="I144" s="96"/>
      <c r="J144" s="96"/>
      <c r="K144" s="96"/>
      <c r="L144" s="78"/>
      <c r="M144" s="78"/>
      <c r="N144" s="78"/>
      <c r="O144" s="78"/>
      <c r="S144" s="78"/>
      <c r="T144" s="78"/>
      <c r="U144" s="78"/>
      <c r="V144" s="78"/>
      <c r="W144" s="78"/>
      <c r="X144" s="78"/>
      <c r="Y144" s="78"/>
      <c r="Z144" s="78"/>
      <c r="AA144" s="78"/>
      <c r="AC144" s="288"/>
      <c r="AD144" s="289"/>
      <c r="AE144" s="288"/>
    </row>
    <row r="145" spans="1:31">
      <c r="A145" s="96" t="s">
        <v>391</v>
      </c>
      <c r="B145" s="96"/>
      <c r="C145" s="96"/>
      <c r="D145" s="96"/>
      <c r="E145" s="96"/>
      <c r="F145" s="96"/>
      <c r="G145" s="96"/>
      <c r="H145" s="96"/>
      <c r="I145" s="96"/>
      <c r="J145" s="96"/>
      <c r="K145" s="96"/>
      <c r="L145" s="78"/>
      <c r="M145" s="78"/>
      <c r="N145" s="91"/>
      <c r="O145" s="91"/>
      <c r="S145" s="91"/>
      <c r="T145" s="91"/>
      <c r="U145" s="91"/>
      <c r="V145" s="91"/>
      <c r="W145" s="78"/>
      <c r="X145" s="78"/>
      <c r="Y145" s="78"/>
      <c r="Z145" s="78"/>
      <c r="AA145" s="78"/>
      <c r="AC145" s="288"/>
      <c r="AD145" s="289"/>
      <c r="AE145" s="288"/>
    </row>
    <row r="146" spans="1:31">
      <c r="A146" s="96"/>
      <c r="B146" s="96"/>
      <c r="C146" s="96"/>
      <c r="D146" s="96"/>
      <c r="E146" s="96"/>
      <c r="F146" s="96"/>
      <c r="G146" s="96"/>
      <c r="H146" s="96"/>
      <c r="I146" s="96"/>
      <c r="J146" s="96"/>
      <c r="K146" s="96"/>
      <c r="L146" s="78"/>
      <c r="M146" s="78"/>
      <c r="N146" s="78"/>
      <c r="O146" s="78"/>
      <c r="S146" s="78"/>
      <c r="T146" s="78"/>
      <c r="U146" s="78"/>
      <c r="V146" s="78"/>
      <c r="W146" s="78"/>
      <c r="X146" s="78"/>
      <c r="Y146" s="78"/>
      <c r="Z146" s="78"/>
      <c r="AA146" s="78"/>
      <c r="AC146" s="288"/>
      <c r="AD146" s="289"/>
      <c r="AE146" s="288"/>
    </row>
    <row r="147" spans="1:31" ht="13.5" thickBot="1">
      <c r="A147" s="96"/>
      <c r="B147" s="96"/>
      <c r="C147" s="96"/>
      <c r="D147" s="96"/>
      <c r="E147" s="96"/>
      <c r="F147" s="96"/>
      <c r="G147" s="96"/>
      <c r="H147" s="96"/>
      <c r="I147" s="96"/>
      <c r="J147" s="96"/>
      <c r="K147" s="96"/>
      <c r="L147" s="78"/>
      <c r="M147" s="78"/>
      <c r="N147" s="78"/>
      <c r="O147" s="78"/>
      <c r="S147" s="78"/>
      <c r="T147" s="78"/>
      <c r="U147" s="78"/>
      <c r="V147" s="78"/>
      <c r="W147" s="78"/>
      <c r="X147" s="78"/>
      <c r="Y147" s="78"/>
      <c r="Z147" s="78"/>
      <c r="AA147" s="78"/>
      <c r="AC147" s="288"/>
      <c r="AD147" s="289"/>
      <c r="AE147" s="288"/>
    </row>
    <row r="148" spans="1:31" ht="13.5" thickBot="1">
      <c r="A148" s="322" t="s">
        <v>187</v>
      </c>
      <c r="B148" s="328" t="s">
        <v>536</v>
      </c>
      <c r="C148" s="329" t="s">
        <v>537</v>
      </c>
      <c r="D148" s="326" t="s">
        <v>275</v>
      </c>
      <c r="E148" s="323" t="s">
        <v>12</v>
      </c>
      <c r="F148" s="96"/>
      <c r="G148" s="96"/>
      <c r="H148" s="96"/>
      <c r="I148" s="96"/>
      <c r="J148" s="96"/>
      <c r="K148" s="96"/>
      <c r="L148" s="78"/>
      <c r="M148" s="78"/>
      <c r="N148" s="78"/>
      <c r="O148" s="78"/>
      <c r="S148" s="78"/>
      <c r="T148" s="78"/>
      <c r="U148" s="78"/>
      <c r="V148" s="78"/>
      <c r="W148" s="78"/>
      <c r="X148" s="78"/>
      <c r="Y148" s="78"/>
      <c r="Z148" s="78"/>
      <c r="AA148" s="78"/>
      <c r="AC148" s="288"/>
      <c r="AD148" s="289"/>
      <c r="AE148" s="288"/>
    </row>
    <row r="149" spans="1:31">
      <c r="A149" s="265">
        <v>0</v>
      </c>
      <c r="B149" s="370">
        <v>5</v>
      </c>
      <c r="C149" s="371">
        <v>0.7</v>
      </c>
      <c r="D149" s="393">
        <f>58.2*1.8*B149*C149*2</f>
        <v>733.32</v>
      </c>
      <c r="E149" s="323" t="s">
        <v>346</v>
      </c>
      <c r="F149" s="96"/>
      <c r="G149" s="96"/>
      <c r="H149" s="96"/>
      <c r="I149" s="96"/>
      <c r="J149" s="96"/>
      <c r="K149" s="96"/>
      <c r="L149" s="78"/>
      <c r="M149" s="78"/>
      <c r="N149" s="78"/>
      <c r="O149" s="78"/>
      <c r="S149" s="78"/>
      <c r="T149" s="78"/>
      <c r="U149" s="78"/>
      <c r="V149" s="78"/>
      <c r="W149" s="78"/>
      <c r="X149" s="78"/>
      <c r="Y149" s="78"/>
      <c r="Z149" s="78"/>
      <c r="AA149" s="78"/>
      <c r="AC149" s="288"/>
      <c r="AD149" s="289"/>
      <c r="AE149" s="288"/>
    </row>
    <row r="150" spans="1:31">
      <c r="A150" s="265">
        <v>2</v>
      </c>
      <c r="B150" s="370">
        <v>5</v>
      </c>
      <c r="C150" s="371">
        <v>0.7</v>
      </c>
      <c r="D150" s="393">
        <f t="shared" ref="D150:D159" si="36">58.2*1.8*B150*C150*2</f>
        <v>733.32</v>
      </c>
      <c r="E150" s="324" t="s">
        <v>346</v>
      </c>
      <c r="F150" s="96"/>
      <c r="G150" s="96"/>
      <c r="H150" s="96"/>
      <c r="I150" s="96"/>
      <c r="J150" s="96"/>
      <c r="K150" s="96"/>
      <c r="L150" s="78"/>
      <c r="M150" s="78"/>
      <c r="N150" s="78"/>
      <c r="O150" s="78"/>
      <c r="S150" s="78"/>
      <c r="T150" s="78"/>
      <c r="U150" s="78"/>
      <c r="V150" s="78"/>
      <c r="W150" s="78"/>
      <c r="X150" s="78"/>
      <c r="Y150" s="78"/>
      <c r="Z150" s="78"/>
      <c r="AA150" s="78"/>
      <c r="AC150" s="288"/>
      <c r="AD150" s="289"/>
      <c r="AE150" s="288"/>
    </row>
    <row r="151" spans="1:31">
      <c r="A151" s="265">
        <v>4</v>
      </c>
      <c r="B151" s="370">
        <v>5</v>
      </c>
      <c r="C151" s="371">
        <v>0.7</v>
      </c>
      <c r="D151" s="393">
        <f t="shared" si="36"/>
        <v>733.32</v>
      </c>
      <c r="E151" s="324" t="s">
        <v>346</v>
      </c>
      <c r="F151" s="96"/>
      <c r="G151" s="96"/>
      <c r="H151" s="96"/>
      <c r="I151" s="96"/>
      <c r="J151" s="96"/>
      <c r="K151" s="96"/>
      <c r="L151" s="78"/>
      <c r="M151" s="78"/>
      <c r="N151" s="78"/>
      <c r="O151" s="78"/>
      <c r="S151" s="78"/>
      <c r="T151" s="78"/>
      <c r="U151" s="78"/>
      <c r="V151" s="78"/>
      <c r="W151" s="78"/>
      <c r="X151" s="78"/>
      <c r="Y151" s="78"/>
      <c r="Z151" s="78"/>
      <c r="AA151" s="78"/>
      <c r="AC151" s="288"/>
      <c r="AD151" s="289"/>
      <c r="AE151" s="288"/>
    </row>
    <row r="152" spans="1:31">
      <c r="A152" s="265">
        <v>6</v>
      </c>
      <c r="B152" s="370">
        <v>5</v>
      </c>
      <c r="C152" s="371">
        <v>0.7</v>
      </c>
      <c r="D152" s="393">
        <f t="shared" si="36"/>
        <v>733.32</v>
      </c>
      <c r="E152" s="324" t="s">
        <v>346</v>
      </c>
      <c r="F152" s="96"/>
      <c r="G152" s="96"/>
      <c r="H152" s="96"/>
      <c r="I152" s="96"/>
      <c r="J152" s="96"/>
      <c r="K152" s="96"/>
      <c r="L152" s="78"/>
      <c r="M152" s="78"/>
      <c r="N152" s="78"/>
      <c r="O152" s="78"/>
      <c r="S152" s="78"/>
      <c r="T152" s="78"/>
      <c r="U152" s="78"/>
      <c r="V152" s="78"/>
      <c r="W152" s="78"/>
      <c r="X152" s="78"/>
      <c r="Y152" s="78"/>
      <c r="Z152" s="78"/>
      <c r="AA152" s="78"/>
      <c r="AC152" s="288"/>
      <c r="AD152" s="289"/>
      <c r="AE152" s="288"/>
    </row>
    <row r="153" spans="1:31">
      <c r="A153" s="265">
        <v>8</v>
      </c>
      <c r="B153" s="370">
        <v>5</v>
      </c>
      <c r="C153" s="371">
        <v>1</v>
      </c>
      <c r="D153" s="393">
        <f t="shared" si="36"/>
        <v>1047.6000000000001</v>
      </c>
      <c r="E153" s="324"/>
      <c r="F153" s="96"/>
      <c r="G153" s="96"/>
      <c r="H153" s="96"/>
      <c r="I153" s="96"/>
      <c r="J153" s="96"/>
      <c r="K153" s="96"/>
      <c r="L153" s="78"/>
      <c r="M153" s="78"/>
      <c r="N153" s="78"/>
      <c r="O153" s="78"/>
      <c r="S153" s="78"/>
      <c r="T153" s="78"/>
      <c r="U153" s="78"/>
      <c r="V153" s="78"/>
      <c r="W153" s="78"/>
      <c r="X153" s="78"/>
      <c r="Y153" s="78"/>
      <c r="Z153" s="78"/>
      <c r="AA153" s="78"/>
      <c r="AC153" s="288"/>
      <c r="AD153" s="289"/>
      <c r="AE153" s="288"/>
    </row>
    <row r="154" spans="1:31">
      <c r="A154" s="265">
        <v>10</v>
      </c>
      <c r="B154" s="370">
        <v>3</v>
      </c>
      <c r="C154" s="371">
        <v>1</v>
      </c>
      <c r="D154" s="393">
        <f t="shared" si="36"/>
        <v>628.56000000000006</v>
      </c>
      <c r="E154" s="324"/>
      <c r="F154" s="96"/>
      <c r="G154" s="96"/>
      <c r="H154" s="96"/>
      <c r="I154" s="96"/>
      <c r="J154" s="96"/>
      <c r="K154" s="96"/>
      <c r="L154" s="78"/>
      <c r="M154" s="78"/>
      <c r="N154" s="78"/>
      <c r="O154" s="78"/>
      <c r="S154" s="78"/>
      <c r="T154" s="78"/>
      <c r="U154" s="78"/>
      <c r="V154" s="78"/>
      <c r="W154" s="78"/>
      <c r="X154" s="78"/>
      <c r="Y154" s="78"/>
      <c r="Z154" s="78"/>
      <c r="AA154" s="78"/>
      <c r="AC154" s="288"/>
      <c r="AD154" s="289"/>
      <c r="AE154" s="288"/>
    </row>
    <row r="155" spans="1:31">
      <c r="A155" s="265">
        <v>12</v>
      </c>
      <c r="B155" s="370">
        <v>3</v>
      </c>
      <c r="C155" s="371">
        <v>2.1</v>
      </c>
      <c r="D155" s="393">
        <f t="shared" si="36"/>
        <v>1319.9760000000001</v>
      </c>
      <c r="E155" s="324" t="s">
        <v>495</v>
      </c>
      <c r="F155" s="96"/>
      <c r="G155" s="96"/>
      <c r="H155" s="96"/>
      <c r="I155" s="96"/>
      <c r="J155" s="96"/>
      <c r="K155" s="96"/>
      <c r="L155" s="78"/>
      <c r="M155" s="78"/>
      <c r="N155" s="78"/>
      <c r="O155" s="78"/>
      <c r="S155" s="78"/>
      <c r="T155" s="78"/>
      <c r="U155" s="78"/>
      <c r="V155" s="78"/>
      <c r="W155" s="78"/>
      <c r="X155" s="78"/>
      <c r="Y155" s="78"/>
      <c r="Z155" s="78"/>
      <c r="AA155" s="78"/>
      <c r="AC155" s="288"/>
      <c r="AD155" s="289"/>
      <c r="AE155" s="288"/>
    </row>
    <row r="156" spans="1:31">
      <c r="A156" s="265">
        <v>14</v>
      </c>
      <c r="B156" s="370">
        <v>3</v>
      </c>
      <c r="C156" s="371">
        <v>1</v>
      </c>
      <c r="D156" s="393">
        <f t="shared" si="36"/>
        <v>628.56000000000006</v>
      </c>
      <c r="E156" s="324"/>
      <c r="F156" s="96"/>
      <c r="G156" s="96"/>
      <c r="H156" s="96"/>
      <c r="I156" s="96"/>
      <c r="J156" s="96"/>
      <c r="K156" s="96"/>
      <c r="L156" s="78"/>
      <c r="M156" s="78"/>
      <c r="N156" s="78"/>
      <c r="O156" s="78"/>
      <c r="S156" s="78"/>
      <c r="T156" s="78"/>
      <c r="U156" s="78"/>
      <c r="V156" s="78"/>
      <c r="W156" s="78"/>
      <c r="X156" s="78"/>
      <c r="Y156" s="78"/>
      <c r="Z156" s="78"/>
      <c r="AA156" s="78"/>
      <c r="AC156" s="288"/>
      <c r="AD156" s="289"/>
      <c r="AE156" s="288"/>
    </row>
    <row r="157" spans="1:31">
      <c r="A157" s="265">
        <v>16</v>
      </c>
      <c r="B157" s="370">
        <v>3</v>
      </c>
      <c r="C157" s="371">
        <v>1</v>
      </c>
      <c r="D157" s="393">
        <f t="shared" si="36"/>
        <v>628.56000000000006</v>
      </c>
      <c r="E157" s="324"/>
      <c r="F157" s="96"/>
      <c r="G157" s="96"/>
      <c r="H157" s="96"/>
      <c r="I157" s="96"/>
      <c r="J157" s="96"/>
      <c r="K157" s="96"/>
      <c r="L157" s="78"/>
      <c r="M157" s="78"/>
      <c r="N157" s="78"/>
      <c r="O157" s="78"/>
      <c r="S157" s="78"/>
      <c r="T157" s="78"/>
      <c r="U157" s="78"/>
      <c r="V157" s="78"/>
      <c r="W157" s="78"/>
      <c r="X157" s="78"/>
      <c r="Y157" s="78"/>
      <c r="Z157" s="78"/>
      <c r="AA157" s="78"/>
      <c r="AC157" s="288"/>
      <c r="AD157" s="289"/>
      <c r="AE157" s="288"/>
    </row>
    <row r="158" spans="1:31">
      <c r="A158" s="265">
        <v>18</v>
      </c>
      <c r="B158" s="370">
        <v>3</v>
      </c>
      <c r="C158" s="371">
        <v>1</v>
      </c>
      <c r="D158" s="393">
        <f t="shared" si="36"/>
        <v>628.56000000000006</v>
      </c>
      <c r="E158" s="324"/>
      <c r="F158" s="96"/>
      <c r="G158" s="96"/>
      <c r="H158" s="96"/>
      <c r="I158" s="96"/>
      <c r="J158" s="96"/>
      <c r="K158" s="96"/>
      <c r="L158" s="78"/>
      <c r="M158" s="78"/>
      <c r="N158" s="78"/>
      <c r="O158" s="78"/>
      <c r="S158" s="78"/>
      <c r="T158" s="78"/>
      <c r="U158" s="78"/>
      <c r="V158" s="78"/>
      <c r="W158" s="78"/>
      <c r="X158" s="78"/>
      <c r="Y158" s="78"/>
      <c r="Z158" s="78"/>
      <c r="AA158" s="78"/>
      <c r="AC158" s="288"/>
      <c r="AD158" s="289"/>
      <c r="AE158" s="288"/>
    </row>
    <row r="159" spans="1:31">
      <c r="A159" s="265">
        <v>20</v>
      </c>
      <c r="B159" s="370">
        <v>5</v>
      </c>
      <c r="C159" s="371">
        <v>1</v>
      </c>
      <c r="D159" s="393">
        <f t="shared" si="36"/>
        <v>1047.6000000000001</v>
      </c>
      <c r="E159" s="324"/>
      <c r="F159" s="96"/>
      <c r="G159" s="96"/>
      <c r="H159" s="96"/>
      <c r="I159" s="96"/>
      <c r="J159" s="96"/>
      <c r="K159" s="96"/>
      <c r="L159" s="78"/>
      <c r="M159" s="78"/>
      <c r="N159" s="78"/>
      <c r="O159" s="78"/>
      <c r="S159" s="78"/>
      <c r="T159" s="78"/>
      <c r="U159" s="78"/>
      <c r="V159" s="78"/>
      <c r="W159" s="78"/>
      <c r="X159" s="78"/>
      <c r="Y159" s="78"/>
      <c r="Z159" s="78"/>
      <c r="AA159" s="78"/>
      <c r="AC159" s="288"/>
      <c r="AD159" s="289"/>
      <c r="AE159" s="288"/>
    </row>
    <row r="160" spans="1:31" ht="13.5" thickBot="1">
      <c r="A160" s="267">
        <v>22</v>
      </c>
      <c r="B160" s="268">
        <v>5</v>
      </c>
      <c r="C160" s="372">
        <v>0.8</v>
      </c>
      <c r="D160" s="394">
        <f>58.2*1.8*B160*C160*2</f>
        <v>838.08000000000015</v>
      </c>
      <c r="E160" s="325"/>
      <c r="F160" s="96"/>
      <c r="G160" s="96"/>
      <c r="H160" s="96"/>
      <c r="I160" s="96"/>
      <c r="J160" s="96"/>
      <c r="K160" s="96"/>
      <c r="L160" s="78"/>
      <c r="M160" s="78"/>
      <c r="N160" s="78"/>
      <c r="O160" s="78"/>
      <c r="S160" s="78"/>
      <c r="T160" s="78"/>
      <c r="U160" s="78"/>
      <c r="V160" s="78"/>
      <c r="W160" s="78"/>
      <c r="X160" s="78"/>
      <c r="Y160" s="78"/>
      <c r="Z160" s="78"/>
      <c r="AA160" s="78"/>
      <c r="AC160" s="288"/>
      <c r="AD160" s="289"/>
      <c r="AE160" s="288"/>
    </row>
    <row r="161" spans="1:31">
      <c r="A161" s="96"/>
      <c r="B161" s="96"/>
      <c r="C161" s="96"/>
      <c r="D161" s="223"/>
      <c r="E161" s="96"/>
      <c r="F161" s="96"/>
      <c r="G161" s="96"/>
      <c r="H161" s="96"/>
      <c r="I161" s="96"/>
      <c r="J161" s="96"/>
      <c r="K161" s="96"/>
      <c r="L161" s="78"/>
      <c r="M161" s="78"/>
      <c r="N161" s="78"/>
      <c r="O161" s="78"/>
      <c r="S161" s="78"/>
      <c r="T161" s="78"/>
      <c r="U161" s="78"/>
      <c r="V161" s="78"/>
      <c r="W161" s="78"/>
      <c r="X161" s="78"/>
      <c r="Y161" s="78"/>
      <c r="Z161" s="78"/>
      <c r="AA161" s="78"/>
      <c r="AC161" s="288"/>
      <c r="AD161" s="289"/>
      <c r="AE161" s="288"/>
    </row>
    <row r="162" spans="1:31">
      <c r="A162" s="96" t="s">
        <v>448</v>
      </c>
      <c r="B162" s="96"/>
      <c r="C162" s="96"/>
      <c r="D162" s="223">
        <f>SUM(D149:D160)</f>
        <v>9700.7760000000017</v>
      </c>
      <c r="E162" s="96" t="s">
        <v>449</v>
      </c>
      <c r="F162" s="96"/>
      <c r="G162" s="96"/>
      <c r="H162" s="96"/>
      <c r="I162" s="96"/>
      <c r="J162" s="96"/>
      <c r="K162" s="96"/>
      <c r="L162" s="78"/>
      <c r="M162" s="78"/>
      <c r="N162" s="78"/>
      <c r="O162" s="78"/>
      <c r="P162" s="288"/>
      <c r="Q162" s="289"/>
      <c r="R162" s="288"/>
      <c r="S162" s="78"/>
      <c r="T162" s="78"/>
      <c r="U162" s="78"/>
      <c r="V162" s="78"/>
      <c r="W162" s="78"/>
      <c r="X162" s="78"/>
      <c r="Y162" s="78"/>
      <c r="Z162" s="78"/>
      <c r="AA162" s="78"/>
    </row>
    <row r="163" spans="1:31">
      <c r="A163" s="96"/>
      <c r="B163" s="96"/>
      <c r="C163" s="96"/>
      <c r="D163" s="96"/>
      <c r="E163" s="96"/>
      <c r="F163" s="96"/>
      <c r="G163" s="96"/>
      <c r="H163" s="96"/>
      <c r="I163" s="96"/>
      <c r="J163" s="96"/>
      <c r="K163" s="96"/>
      <c r="L163" s="78"/>
      <c r="M163" s="78"/>
      <c r="N163" s="78"/>
      <c r="O163" s="78"/>
      <c r="P163" s="288"/>
      <c r="Q163" s="289"/>
      <c r="R163" s="288"/>
      <c r="S163" s="78"/>
      <c r="T163" s="78"/>
      <c r="U163" s="78"/>
      <c r="V163" s="78"/>
      <c r="W163" s="78"/>
      <c r="X163" s="78"/>
      <c r="Y163" s="78"/>
      <c r="Z163" s="78"/>
      <c r="AA163" s="78"/>
    </row>
    <row r="164" spans="1:31">
      <c r="A164" s="96"/>
      <c r="B164" s="96"/>
      <c r="C164" s="96"/>
      <c r="D164" s="96"/>
      <c r="E164" s="96"/>
      <c r="F164" s="96"/>
      <c r="G164" s="96"/>
      <c r="H164" s="96"/>
      <c r="I164" s="96"/>
      <c r="J164" s="96"/>
      <c r="K164" s="96"/>
      <c r="L164" s="78"/>
      <c r="M164" s="78"/>
      <c r="N164" s="78"/>
      <c r="O164" s="78"/>
      <c r="P164" s="288"/>
      <c r="Q164" s="289"/>
      <c r="R164" s="288"/>
      <c r="S164" s="78"/>
      <c r="T164" s="78"/>
      <c r="U164" s="78"/>
      <c r="V164" s="78"/>
      <c r="W164" s="78"/>
      <c r="X164" s="78"/>
      <c r="Y164" s="78"/>
      <c r="Z164" s="78"/>
      <c r="AA164" s="78"/>
    </row>
    <row r="165" spans="1:31">
      <c r="A165" s="96"/>
      <c r="B165" s="96"/>
      <c r="C165" s="96"/>
      <c r="D165" s="96"/>
      <c r="E165" s="96"/>
      <c r="F165" s="96"/>
      <c r="G165" s="96"/>
      <c r="H165" s="96"/>
      <c r="I165" s="96"/>
      <c r="J165" s="96"/>
      <c r="K165" s="96"/>
      <c r="L165" s="78"/>
      <c r="M165" s="78"/>
      <c r="N165" s="78"/>
      <c r="O165" s="78"/>
      <c r="P165" s="288"/>
      <c r="Q165" s="289"/>
      <c r="R165" s="288"/>
      <c r="S165" s="78"/>
      <c r="T165" s="78"/>
      <c r="U165" s="78"/>
      <c r="V165" s="78"/>
      <c r="W165" s="78"/>
      <c r="X165" s="78"/>
      <c r="Y165" s="78"/>
      <c r="Z165" s="78"/>
      <c r="AA165" s="78"/>
    </row>
    <row r="166" spans="1:31">
      <c r="A166" s="96"/>
      <c r="B166" s="96"/>
      <c r="C166" s="96"/>
      <c r="D166" s="96"/>
      <c r="E166" s="96"/>
      <c r="F166" s="96"/>
      <c r="G166" s="96"/>
      <c r="H166" s="96"/>
      <c r="I166" s="96"/>
      <c r="J166" s="96"/>
      <c r="K166" s="96"/>
      <c r="L166" s="78"/>
      <c r="M166" s="78"/>
      <c r="N166" s="78"/>
      <c r="O166" s="78"/>
      <c r="P166" s="288"/>
      <c r="Q166" s="289"/>
      <c r="R166" s="288"/>
      <c r="S166" s="78"/>
      <c r="T166" s="78"/>
      <c r="U166" s="78"/>
      <c r="V166" s="78"/>
      <c r="W166" s="78"/>
      <c r="X166" s="78"/>
      <c r="Y166" s="78"/>
      <c r="Z166" s="78"/>
      <c r="AA166" s="78"/>
    </row>
    <row r="167" spans="1:31">
      <c r="A167" s="95" t="s">
        <v>710</v>
      </c>
      <c r="B167" s="96"/>
      <c r="C167" s="96"/>
      <c r="D167" s="96"/>
      <c r="E167" s="96"/>
      <c r="F167" s="96"/>
      <c r="G167" s="96"/>
      <c r="H167" s="96"/>
      <c r="I167" s="96"/>
      <c r="J167" s="96"/>
      <c r="K167" s="96"/>
      <c r="L167" s="78"/>
      <c r="M167" s="78"/>
      <c r="N167" s="78"/>
      <c r="O167" s="78"/>
      <c r="P167" s="288"/>
      <c r="Q167" s="289"/>
      <c r="R167" s="288"/>
      <c r="S167" s="78"/>
      <c r="T167" s="78"/>
      <c r="U167" s="78"/>
      <c r="V167" s="78"/>
      <c r="W167" s="78"/>
      <c r="X167" s="78"/>
      <c r="Y167" s="78"/>
      <c r="Z167" s="78"/>
      <c r="AA167" s="78"/>
    </row>
    <row r="168" spans="1:31">
      <c r="A168" s="95"/>
      <c r="B168" s="96"/>
      <c r="C168" s="96"/>
      <c r="D168" s="96"/>
      <c r="E168" s="96"/>
      <c r="F168" s="96"/>
      <c r="G168" s="96"/>
      <c r="H168" s="96"/>
      <c r="I168" s="96"/>
      <c r="J168" s="96"/>
      <c r="K168" s="96"/>
      <c r="L168" s="78"/>
      <c r="M168" s="78"/>
      <c r="N168" s="78"/>
      <c r="O168" s="78"/>
      <c r="P168" s="288"/>
      <c r="Q168" s="289"/>
      <c r="R168" s="288"/>
      <c r="S168" s="78"/>
      <c r="T168" s="78"/>
      <c r="U168" s="78"/>
      <c r="V168" s="78"/>
      <c r="W168" s="78"/>
      <c r="X168" s="78"/>
      <c r="Y168" s="78"/>
      <c r="Z168" s="78"/>
      <c r="AA168" s="78"/>
    </row>
    <row r="169" spans="1:31">
      <c r="A169" s="95"/>
      <c r="B169" s="96"/>
      <c r="C169" s="96"/>
      <c r="D169" s="96"/>
      <c r="E169" s="96"/>
      <c r="F169" s="96"/>
      <c r="G169" s="96"/>
      <c r="H169" s="96"/>
      <c r="I169" s="96"/>
      <c r="J169" s="96"/>
      <c r="K169" s="96"/>
      <c r="L169" s="78"/>
      <c r="M169" s="78"/>
      <c r="N169" s="78"/>
      <c r="O169" s="78"/>
      <c r="P169" s="288"/>
      <c r="Q169" s="289"/>
      <c r="R169" s="288"/>
      <c r="S169" s="78"/>
      <c r="T169" s="78"/>
      <c r="U169" s="78"/>
      <c r="V169" s="78"/>
      <c r="W169" s="78"/>
      <c r="X169" s="78"/>
      <c r="Y169" s="78"/>
      <c r="Z169" s="78"/>
      <c r="AA169" s="78"/>
    </row>
    <row r="170" spans="1:31">
      <c r="A170" s="95"/>
      <c r="B170" s="96"/>
      <c r="C170" s="96"/>
      <c r="D170" s="96"/>
      <c r="E170" s="96"/>
      <c r="F170" s="96"/>
      <c r="G170" s="96"/>
      <c r="H170" s="96"/>
      <c r="I170" s="96"/>
      <c r="J170" s="96"/>
      <c r="K170" s="96"/>
      <c r="L170" s="78"/>
      <c r="M170" s="78"/>
      <c r="N170" s="78"/>
      <c r="O170" s="78"/>
      <c r="P170" s="288"/>
      <c r="Q170" s="289"/>
      <c r="R170" s="288"/>
      <c r="S170" s="78"/>
      <c r="T170" s="78"/>
      <c r="U170" s="78"/>
      <c r="V170" s="78"/>
      <c r="W170" s="78"/>
      <c r="X170" s="78"/>
      <c r="Y170" s="78"/>
      <c r="Z170" s="78"/>
      <c r="AA170" s="78"/>
    </row>
    <row r="171" spans="1:31" ht="13.5" thickBot="1">
      <c r="A171" s="96"/>
      <c r="B171" s="95" t="s">
        <v>538</v>
      </c>
      <c r="C171" s="292" t="s">
        <v>540</v>
      </c>
      <c r="D171" s="95" t="s">
        <v>539</v>
      </c>
      <c r="E171" s="292" t="s">
        <v>541</v>
      </c>
      <c r="F171" s="96"/>
      <c r="G171" s="96"/>
      <c r="H171" s="96"/>
      <c r="I171" s="96"/>
      <c r="J171" s="96"/>
      <c r="K171" s="96"/>
      <c r="L171" s="78"/>
      <c r="M171" s="78"/>
      <c r="N171" s="78"/>
      <c r="O171" s="78"/>
      <c r="P171" s="288"/>
      <c r="Q171" s="289"/>
      <c r="R171" s="288"/>
      <c r="S171" s="78"/>
      <c r="T171" s="78"/>
      <c r="U171" s="78"/>
      <c r="V171" s="78"/>
      <c r="W171" s="78"/>
      <c r="X171" s="78"/>
      <c r="Y171" s="78"/>
      <c r="Z171" s="78"/>
      <c r="AA171" s="78"/>
    </row>
    <row r="172" spans="1:31" ht="13.5" thickBot="1">
      <c r="A172" s="323" t="s">
        <v>187</v>
      </c>
      <c r="B172" s="322" t="s">
        <v>274</v>
      </c>
      <c r="C172" s="373">
        <v>36</v>
      </c>
      <c r="D172" s="322" t="s">
        <v>274</v>
      </c>
      <c r="E172" s="373">
        <v>36</v>
      </c>
      <c r="F172" s="323" t="s">
        <v>277</v>
      </c>
      <c r="G172" s="96"/>
      <c r="H172" s="96" t="s">
        <v>452</v>
      </c>
      <c r="I172" s="96"/>
      <c r="J172" s="96"/>
      <c r="K172" s="96"/>
      <c r="L172" s="78"/>
      <c r="M172" s="78"/>
      <c r="N172" s="78"/>
      <c r="O172" s="78"/>
      <c r="P172" s="288"/>
      <c r="Q172" s="289"/>
      <c r="R172" s="288"/>
      <c r="S172" s="78"/>
      <c r="T172" s="78"/>
      <c r="U172" s="78"/>
      <c r="V172" s="78"/>
      <c r="W172" s="78"/>
      <c r="X172" s="78"/>
      <c r="Y172" s="78"/>
      <c r="Z172" s="78"/>
      <c r="AA172" s="78"/>
    </row>
    <row r="173" spans="1:31" ht="13.5" thickBot="1">
      <c r="A173" s="325"/>
      <c r="B173" s="332" t="s">
        <v>542</v>
      </c>
      <c r="C173" s="326" t="s">
        <v>275</v>
      </c>
      <c r="D173" s="332" t="s">
        <v>542</v>
      </c>
      <c r="E173" s="326" t="s">
        <v>275</v>
      </c>
      <c r="F173" s="325" t="s">
        <v>276</v>
      </c>
      <c r="G173" s="96"/>
      <c r="H173" s="96" t="s">
        <v>453</v>
      </c>
      <c r="I173" s="96"/>
      <c r="J173" s="96"/>
      <c r="K173" s="96"/>
      <c r="L173" s="78"/>
      <c r="M173" s="78"/>
      <c r="N173" s="78"/>
      <c r="O173" s="78"/>
      <c r="P173" s="288"/>
      <c r="Q173" s="289"/>
      <c r="R173" s="288"/>
      <c r="S173" s="78"/>
      <c r="T173" s="78"/>
      <c r="U173" s="78"/>
      <c r="V173" s="78"/>
      <c r="W173" s="78"/>
      <c r="X173" s="78"/>
      <c r="Y173" s="78"/>
      <c r="Z173" s="78"/>
      <c r="AA173" s="78"/>
    </row>
    <row r="174" spans="1:31">
      <c r="A174" s="324">
        <v>0</v>
      </c>
      <c r="B174" s="374">
        <v>0</v>
      </c>
      <c r="C174" s="324">
        <f>+$C$172*B174*2</f>
        <v>0</v>
      </c>
      <c r="D174" s="374">
        <v>1</v>
      </c>
      <c r="E174" s="324">
        <f>+$E$172*D174*2</f>
        <v>72</v>
      </c>
      <c r="F174" s="324">
        <f>SUM(E174+C174)</f>
        <v>72</v>
      </c>
      <c r="G174" s="96"/>
      <c r="H174" s="96"/>
      <c r="I174" s="96"/>
      <c r="J174" s="96"/>
      <c r="K174" s="96"/>
      <c r="L174" s="78"/>
      <c r="M174" s="78"/>
      <c r="N174" s="78"/>
      <c r="O174" s="78"/>
      <c r="P174" s="288"/>
      <c r="Q174" s="289"/>
      <c r="R174" s="288"/>
      <c r="S174" s="78"/>
      <c r="T174" s="78"/>
      <c r="U174" s="78"/>
      <c r="V174" s="78"/>
      <c r="W174" s="78"/>
      <c r="X174" s="78"/>
      <c r="Y174" s="78"/>
      <c r="Z174" s="78"/>
      <c r="AA174" s="78"/>
    </row>
    <row r="175" spans="1:31">
      <c r="A175" s="324">
        <v>2</v>
      </c>
      <c r="B175" s="374">
        <v>0</v>
      </c>
      <c r="C175" s="324">
        <f t="shared" ref="C175:C183" si="37">+$C$172*B175*2</f>
        <v>0</v>
      </c>
      <c r="D175" s="374">
        <v>1</v>
      </c>
      <c r="E175" s="324">
        <f t="shared" ref="E175:E183" si="38">+$E$172*D175*2</f>
        <v>72</v>
      </c>
      <c r="F175" s="324">
        <f t="shared" ref="F175:F184" si="39">SUM(E175+C175)</f>
        <v>72</v>
      </c>
      <c r="G175" s="96"/>
      <c r="H175" s="96" t="s">
        <v>454</v>
      </c>
      <c r="I175" s="96"/>
      <c r="J175" s="96"/>
      <c r="K175" s="96"/>
      <c r="L175" s="78"/>
      <c r="M175" s="78"/>
      <c r="N175" s="78"/>
      <c r="O175" s="78"/>
      <c r="P175" s="288"/>
      <c r="Q175" s="289"/>
      <c r="R175" s="288"/>
      <c r="S175" s="78"/>
      <c r="T175" s="78"/>
      <c r="U175" s="78"/>
      <c r="V175" s="78"/>
      <c r="W175" s="78"/>
      <c r="X175" s="78"/>
      <c r="Y175" s="78"/>
      <c r="Z175" s="78"/>
      <c r="AA175" s="78"/>
    </row>
    <row r="176" spans="1:31">
      <c r="A176" s="324">
        <v>4</v>
      </c>
      <c r="B176" s="374">
        <v>0</v>
      </c>
      <c r="C176" s="324">
        <f t="shared" si="37"/>
        <v>0</v>
      </c>
      <c r="D176" s="374">
        <v>1</v>
      </c>
      <c r="E176" s="324">
        <f t="shared" si="38"/>
        <v>72</v>
      </c>
      <c r="F176" s="324">
        <f t="shared" si="39"/>
        <v>72</v>
      </c>
      <c r="G176" s="96"/>
      <c r="H176" s="96" t="s">
        <v>455</v>
      </c>
      <c r="I176" s="96"/>
      <c r="J176" s="96"/>
      <c r="K176" s="96"/>
      <c r="L176" s="78"/>
      <c r="M176" s="78"/>
      <c r="N176" s="78"/>
      <c r="O176" s="78"/>
      <c r="P176" s="288"/>
      <c r="Q176" s="289"/>
      <c r="R176" s="288"/>
      <c r="S176" s="78"/>
      <c r="T176" s="78"/>
      <c r="U176" s="78"/>
      <c r="V176" s="78"/>
      <c r="W176" s="78"/>
      <c r="X176" s="78"/>
      <c r="Y176" s="78"/>
      <c r="Z176" s="78"/>
      <c r="AA176" s="78"/>
    </row>
    <row r="177" spans="1:30">
      <c r="A177" s="324">
        <v>6</v>
      </c>
      <c r="B177" s="374">
        <v>0</v>
      </c>
      <c r="C177" s="324">
        <f t="shared" si="37"/>
        <v>0</v>
      </c>
      <c r="D177" s="374">
        <v>1</v>
      </c>
      <c r="E177" s="324">
        <f t="shared" si="38"/>
        <v>72</v>
      </c>
      <c r="F177" s="324">
        <f t="shared" si="39"/>
        <v>72</v>
      </c>
      <c r="G177" s="96"/>
      <c r="H177" s="96" t="s">
        <v>456</v>
      </c>
      <c r="I177" s="96"/>
      <c r="J177" s="96"/>
      <c r="K177" s="96"/>
      <c r="L177" s="78"/>
      <c r="M177" s="78"/>
      <c r="N177" s="78"/>
      <c r="O177" s="78"/>
      <c r="P177" s="92"/>
      <c r="Q177" s="92"/>
      <c r="R177" s="92"/>
      <c r="S177" s="78"/>
      <c r="T177" s="78"/>
      <c r="U177" s="78"/>
      <c r="V177" s="78"/>
      <c r="W177" s="78"/>
      <c r="X177" s="78"/>
      <c r="Y177" s="78"/>
      <c r="Z177" s="78"/>
      <c r="AA177" s="78"/>
    </row>
    <row r="178" spans="1:30">
      <c r="A178" s="324">
        <v>8</v>
      </c>
      <c r="B178" s="374">
        <v>3</v>
      </c>
      <c r="C178" s="324">
        <f t="shared" si="37"/>
        <v>216</v>
      </c>
      <c r="D178" s="374">
        <v>0</v>
      </c>
      <c r="E178" s="324">
        <f t="shared" si="38"/>
        <v>0</v>
      </c>
      <c r="F178" s="324">
        <f t="shared" si="39"/>
        <v>216</v>
      </c>
      <c r="G178" s="96"/>
      <c r="H178" s="96"/>
      <c r="I178" s="96"/>
      <c r="J178" s="96"/>
      <c r="K178" s="96"/>
      <c r="L178" s="78"/>
      <c r="M178" s="78"/>
      <c r="N178" s="78"/>
      <c r="O178" s="78"/>
      <c r="P178" s="78"/>
      <c r="Q178" s="78"/>
      <c r="R178" s="78"/>
      <c r="S178" s="78"/>
      <c r="T178" s="78"/>
      <c r="U178" s="78"/>
      <c r="V178" s="78"/>
      <c r="W178" s="78"/>
      <c r="X178" s="78"/>
      <c r="Y178" s="78"/>
      <c r="Z178" s="78"/>
      <c r="AA178" s="78"/>
    </row>
    <row r="179" spans="1:30">
      <c r="A179" s="324">
        <v>10</v>
      </c>
      <c r="B179" s="374">
        <v>2</v>
      </c>
      <c r="C179" s="324">
        <f t="shared" si="37"/>
        <v>144</v>
      </c>
      <c r="D179" s="374">
        <v>0</v>
      </c>
      <c r="E179" s="324">
        <f t="shared" si="38"/>
        <v>0</v>
      </c>
      <c r="F179" s="324">
        <f t="shared" si="39"/>
        <v>144</v>
      </c>
      <c r="G179" s="96"/>
      <c r="H179" s="96" t="s">
        <v>457</v>
      </c>
      <c r="I179" s="96"/>
      <c r="J179" s="96"/>
      <c r="K179" s="96"/>
      <c r="L179" s="78"/>
      <c r="M179" s="78"/>
      <c r="N179" s="78"/>
      <c r="O179" s="78"/>
      <c r="P179" s="78"/>
      <c r="Q179" s="78"/>
      <c r="R179" s="78"/>
      <c r="S179" s="78"/>
      <c r="T179" s="78"/>
      <c r="U179" s="78"/>
      <c r="V179" s="78"/>
      <c r="W179" s="78"/>
      <c r="X179" s="78"/>
      <c r="Y179" s="78"/>
      <c r="Z179" s="78"/>
      <c r="AA179" s="78"/>
    </row>
    <row r="180" spans="1:30">
      <c r="A180" s="324">
        <v>12</v>
      </c>
      <c r="B180" s="374">
        <v>0</v>
      </c>
      <c r="C180" s="324">
        <f t="shared" si="37"/>
        <v>0</v>
      </c>
      <c r="D180" s="374">
        <v>0</v>
      </c>
      <c r="E180" s="324">
        <f t="shared" si="38"/>
        <v>0</v>
      </c>
      <c r="F180" s="324">
        <f t="shared" si="39"/>
        <v>0</v>
      </c>
      <c r="G180" s="96"/>
      <c r="H180" s="96" t="s">
        <v>458</v>
      </c>
      <c r="I180" s="96"/>
      <c r="J180" s="96"/>
      <c r="K180" s="96"/>
      <c r="L180" s="78"/>
      <c r="M180" s="78"/>
      <c r="N180" s="78"/>
      <c r="O180" s="78"/>
      <c r="P180" s="78"/>
      <c r="Q180" s="78"/>
      <c r="R180" s="78"/>
      <c r="S180" s="78"/>
      <c r="T180" s="78"/>
      <c r="U180" s="78"/>
      <c r="V180" s="78"/>
      <c r="W180" s="78"/>
      <c r="X180" s="78"/>
      <c r="Y180" s="78"/>
      <c r="Z180" s="78"/>
      <c r="AA180" s="78"/>
    </row>
    <row r="181" spans="1:30">
      <c r="A181" s="324">
        <v>14</v>
      </c>
      <c r="B181" s="374">
        <v>0</v>
      </c>
      <c r="C181" s="324">
        <f t="shared" si="37"/>
        <v>0</v>
      </c>
      <c r="D181" s="374">
        <v>0</v>
      </c>
      <c r="E181" s="324">
        <f t="shared" si="38"/>
        <v>0</v>
      </c>
      <c r="F181" s="324">
        <f t="shared" si="39"/>
        <v>0</v>
      </c>
      <c r="G181" s="96"/>
      <c r="H181" s="96"/>
      <c r="I181" s="96"/>
      <c r="J181" s="96"/>
      <c r="K181" s="96"/>
      <c r="L181" s="78"/>
      <c r="M181" s="78"/>
      <c r="N181" s="78"/>
      <c r="O181" s="78"/>
      <c r="P181" s="78"/>
      <c r="Q181" s="78"/>
      <c r="R181" s="78"/>
      <c r="S181" s="78"/>
      <c r="T181" s="78"/>
      <c r="U181" s="78"/>
      <c r="V181" s="78"/>
      <c r="W181" s="78"/>
      <c r="X181" s="78"/>
      <c r="Y181" s="78"/>
      <c r="Z181" s="78"/>
      <c r="AA181" s="78"/>
    </row>
    <row r="182" spans="1:30">
      <c r="A182" s="324">
        <v>16</v>
      </c>
      <c r="B182" s="374">
        <v>0</v>
      </c>
      <c r="C182" s="324">
        <f t="shared" si="37"/>
        <v>0</v>
      </c>
      <c r="D182" s="374">
        <v>0</v>
      </c>
      <c r="E182" s="324">
        <f t="shared" si="38"/>
        <v>0</v>
      </c>
      <c r="F182" s="324">
        <f t="shared" si="39"/>
        <v>0</v>
      </c>
      <c r="G182" s="96"/>
      <c r="H182" s="292" t="s">
        <v>543</v>
      </c>
      <c r="I182" s="96"/>
      <c r="J182" s="96"/>
      <c r="K182" s="96"/>
      <c r="L182" s="78"/>
      <c r="M182" s="78"/>
      <c r="N182" s="78"/>
      <c r="O182" s="78"/>
      <c r="P182" s="78"/>
      <c r="Q182" s="78"/>
      <c r="R182" s="78"/>
      <c r="S182" s="78"/>
      <c r="T182" s="78"/>
      <c r="U182" s="78"/>
      <c r="V182" s="78"/>
      <c r="W182" s="78"/>
      <c r="X182" s="78"/>
      <c r="Y182" s="78"/>
      <c r="Z182" s="78"/>
      <c r="AA182" s="78"/>
    </row>
    <row r="183" spans="1:30">
      <c r="A183" s="324">
        <v>18</v>
      </c>
      <c r="B183" s="374">
        <v>2</v>
      </c>
      <c r="C183" s="324">
        <f t="shared" si="37"/>
        <v>144</v>
      </c>
      <c r="D183" s="374">
        <v>0</v>
      </c>
      <c r="E183" s="324">
        <f t="shared" si="38"/>
        <v>0</v>
      </c>
      <c r="F183" s="324">
        <f t="shared" si="39"/>
        <v>144</v>
      </c>
      <c r="G183" s="96"/>
      <c r="H183" s="96"/>
      <c r="I183" s="96"/>
      <c r="J183" s="96"/>
      <c r="K183" s="96"/>
      <c r="L183" s="78"/>
      <c r="M183" s="78"/>
      <c r="N183" s="78"/>
      <c r="O183" s="78"/>
      <c r="P183" s="78"/>
      <c r="Q183" s="78"/>
      <c r="R183" s="78"/>
      <c r="S183" s="78"/>
      <c r="T183" s="78"/>
      <c r="U183" s="78"/>
      <c r="V183" s="78"/>
      <c r="W183" s="78"/>
      <c r="X183" s="78"/>
      <c r="Y183" s="78"/>
      <c r="Z183" s="78"/>
      <c r="AA183" s="78"/>
    </row>
    <row r="184" spans="1:30" ht="13.5" thickBot="1">
      <c r="A184" s="325">
        <v>20</v>
      </c>
      <c r="B184" s="375">
        <v>3</v>
      </c>
      <c r="C184" s="325">
        <f>+$C$172*B184*2</f>
        <v>216</v>
      </c>
      <c r="D184" s="375">
        <v>1</v>
      </c>
      <c r="E184" s="325">
        <f>+$E$172*D184*2</f>
        <v>72</v>
      </c>
      <c r="F184" s="325">
        <f t="shared" si="39"/>
        <v>288</v>
      </c>
      <c r="G184" s="96"/>
      <c r="H184" s="96"/>
      <c r="I184" s="96"/>
      <c r="J184" s="96"/>
      <c r="K184" s="96"/>
      <c r="L184" s="78"/>
      <c r="M184" s="78"/>
      <c r="N184" s="78"/>
      <c r="O184" s="78"/>
      <c r="P184" s="78"/>
      <c r="Q184" s="78"/>
      <c r="R184" s="78"/>
      <c r="S184" s="78"/>
      <c r="T184" s="78"/>
      <c r="U184" s="78"/>
      <c r="V184" s="78"/>
      <c r="W184" s="78"/>
      <c r="X184" s="78"/>
      <c r="Y184" s="78"/>
      <c r="Z184" s="78"/>
      <c r="AA184" s="78"/>
    </row>
    <row r="185" spans="1:30">
      <c r="A185" s="96" t="s">
        <v>451</v>
      </c>
      <c r="B185" s="96"/>
      <c r="C185" s="96"/>
      <c r="D185" s="96"/>
      <c r="E185" s="96"/>
      <c r="F185" s="96">
        <f>SUM(F174:F184)</f>
        <v>1080</v>
      </c>
      <c r="G185" s="96" t="s">
        <v>449</v>
      </c>
      <c r="H185" s="96"/>
      <c r="I185" s="96"/>
      <c r="J185" s="96"/>
      <c r="K185" s="96"/>
      <c r="L185" s="78"/>
      <c r="M185" s="78"/>
      <c r="N185" s="78"/>
      <c r="O185" s="78"/>
      <c r="P185" s="78"/>
      <c r="Q185" s="78"/>
      <c r="R185" s="78"/>
      <c r="S185" s="78"/>
      <c r="T185" s="78"/>
      <c r="U185" s="78"/>
      <c r="V185" s="78"/>
      <c r="W185" s="78"/>
      <c r="X185" s="78"/>
      <c r="Y185" s="78"/>
      <c r="Z185" s="78"/>
      <c r="AA185" s="78"/>
    </row>
    <row r="186" spans="1:30">
      <c r="A186" s="96"/>
      <c r="B186" s="96"/>
      <c r="C186" s="96"/>
      <c r="D186" s="96"/>
      <c r="E186" s="96"/>
      <c r="F186" s="96"/>
      <c r="G186" s="96"/>
      <c r="H186" s="96"/>
      <c r="I186" s="96"/>
      <c r="J186" s="96"/>
      <c r="K186" s="96"/>
      <c r="L186" s="78"/>
      <c r="M186" s="78"/>
      <c r="N186" s="78"/>
      <c r="O186" s="78"/>
      <c r="P186" s="78"/>
      <c r="Q186" s="78"/>
      <c r="R186" s="78"/>
      <c r="S186" s="78"/>
      <c r="T186" s="78"/>
      <c r="U186" s="78"/>
      <c r="V186" s="78"/>
      <c r="W186" s="78"/>
      <c r="X186" s="78"/>
      <c r="Y186" s="78"/>
      <c r="Z186" s="78"/>
      <c r="AA186" s="78"/>
    </row>
    <row r="187" spans="1:30">
      <c r="A187" s="96"/>
      <c r="B187" s="96"/>
      <c r="C187" s="96"/>
      <c r="D187" s="96"/>
      <c r="E187" s="96"/>
      <c r="F187" s="96"/>
      <c r="G187" s="96"/>
      <c r="H187" s="96"/>
      <c r="I187" s="96"/>
      <c r="J187" s="96"/>
      <c r="K187" s="96"/>
      <c r="L187" s="78"/>
      <c r="M187" s="78"/>
      <c r="N187" s="78"/>
      <c r="O187" s="78"/>
      <c r="P187" s="78"/>
      <c r="Q187" s="78"/>
      <c r="R187" s="78"/>
      <c r="S187" s="78"/>
      <c r="T187" s="78"/>
      <c r="U187" s="78"/>
      <c r="V187" s="78"/>
      <c r="W187" s="78"/>
      <c r="X187" s="78"/>
      <c r="Y187" s="78"/>
      <c r="Z187" s="78"/>
      <c r="AA187" s="78"/>
    </row>
    <row r="188" spans="1:30">
      <c r="A188" s="96"/>
      <c r="B188" s="96"/>
      <c r="C188" s="96"/>
      <c r="D188" s="96"/>
      <c r="E188" s="96"/>
      <c r="F188" s="96"/>
      <c r="G188" s="96"/>
      <c r="H188" s="96"/>
      <c r="I188" s="96"/>
      <c r="J188" s="96"/>
      <c r="K188" s="96"/>
      <c r="L188" s="78"/>
      <c r="M188" s="78"/>
      <c r="N188" s="78"/>
      <c r="O188" s="78"/>
      <c r="P188" s="78"/>
      <c r="Q188" s="78"/>
      <c r="R188" s="78"/>
      <c r="S188" s="78"/>
      <c r="T188" s="78"/>
      <c r="U188" s="78"/>
      <c r="V188" s="78"/>
      <c r="W188" s="78"/>
      <c r="X188" s="78"/>
      <c r="Y188" s="78"/>
      <c r="Z188" s="78"/>
      <c r="AA188" s="78"/>
    </row>
    <row r="189" spans="1:30">
      <c r="A189" s="96"/>
      <c r="B189" s="96"/>
      <c r="C189" s="96"/>
      <c r="D189" s="96"/>
      <c r="E189" s="96"/>
      <c r="F189" s="96"/>
      <c r="G189" s="96"/>
      <c r="H189" s="96"/>
      <c r="I189" s="96"/>
      <c r="J189" s="96"/>
      <c r="K189" s="96"/>
      <c r="L189" s="78"/>
      <c r="M189" s="78"/>
      <c r="N189" s="78"/>
      <c r="O189" s="78"/>
      <c r="P189" s="78"/>
      <c r="Q189" s="78"/>
      <c r="R189" s="78"/>
      <c r="S189" s="78"/>
      <c r="T189" s="78"/>
      <c r="U189" s="78"/>
      <c r="V189" s="78"/>
      <c r="W189" s="78"/>
      <c r="X189" s="78"/>
      <c r="Y189" s="78"/>
      <c r="Z189" s="78"/>
      <c r="AA189" s="78"/>
    </row>
    <row r="190" spans="1:30">
      <c r="A190" s="96"/>
      <c r="B190" s="96"/>
      <c r="C190" s="96"/>
      <c r="D190" s="96"/>
      <c r="E190" s="96"/>
      <c r="F190" s="96"/>
      <c r="G190" s="96"/>
      <c r="H190" s="96"/>
      <c r="I190" s="96"/>
      <c r="J190" s="96"/>
      <c r="K190" s="96"/>
      <c r="L190" s="78"/>
      <c r="M190" s="78"/>
      <c r="N190" s="78"/>
      <c r="O190" s="78"/>
      <c r="P190" s="78"/>
      <c r="Q190" s="78"/>
      <c r="R190" s="78"/>
      <c r="S190" s="78"/>
      <c r="T190" s="78"/>
      <c r="U190" s="78"/>
      <c r="V190" s="78"/>
      <c r="W190" s="78"/>
      <c r="X190" s="78"/>
      <c r="Y190" s="78"/>
      <c r="Z190" s="78"/>
      <c r="AA190" s="78"/>
    </row>
    <row r="191" spans="1:30">
      <c r="A191" s="95" t="s">
        <v>711</v>
      </c>
      <c r="B191" s="96"/>
      <c r="C191" s="96"/>
      <c r="D191" s="96"/>
      <c r="E191" s="96"/>
      <c r="F191" s="96"/>
      <c r="G191" s="96"/>
      <c r="H191" s="96"/>
      <c r="I191" s="96"/>
      <c r="J191" s="96"/>
      <c r="K191" s="96"/>
      <c r="L191" s="96"/>
      <c r="M191" s="96"/>
      <c r="N191" s="96"/>
      <c r="O191" s="96"/>
      <c r="P191" s="96"/>
      <c r="Q191" s="96"/>
      <c r="R191" s="96"/>
      <c r="S191" s="96"/>
      <c r="T191" s="96"/>
      <c r="U191" s="96"/>
      <c r="V191" s="96"/>
      <c r="W191" s="96"/>
      <c r="X191" s="96"/>
      <c r="Y191" s="96"/>
      <c r="Z191" s="96"/>
      <c r="AA191" s="96"/>
      <c r="AB191" s="96"/>
      <c r="AC191" s="96"/>
      <c r="AD191" s="96"/>
    </row>
    <row r="192" spans="1:30">
      <c r="A192" s="95"/>
      <c r="B192" s="96"/>
      <c r="C192" s="96"/>
      <c r="D192" s="96"/>
      <c r="E192" s="96"/>
      <c r="F192" s="96"/>
      <c r="G192" s="96"/>
      <c r="H192" s="96"/>
      <c r="I192" s="96"/>
      <c r="J192" s="96"/>
      <c r="K192" s="96"/>
      <c r="L192" s="96"/>
      <c r="M192" s="96"/>
      <c r="N192" s="96"/>
      <c r="O192" s="96"/>
      <c r="P192" s="96"/>
      <c r="Q192" s="96"/>
      <c r="R192" s="96"/>
      <c r="S192" s="96"/>
      <c r="T192" s="96"/>
      <c r="U192" s="96"/>
      <c r="V192" s="96"/>
      <c r="W192" s="96"/>
      <c r="X192" s="96"/>
      <c r="Y192" s="96"/>
      <c r="Z192" s="96"/>
      <c r="AA192" s="96"/>
      <c r="AB192" s="96"/>
      <c r="AC192" s="96"/>
      <c r="AD192" s="96"/>
    </row>
    <row r="193" spans="1:30">
      <c r="A193" s="95" t="s">
        <v>460</v>
      </c>
      <c r="B193" s="96"/>
      <c r="C193" s="96"/>
      <c r="D193" s="96"/>
      <c r="E193" s="96"/>
      <c r="F193" s="96"/>
      <c r="G193" s="96"/>
      <c r="H193" s="96"/>
      <c r="I193" s="96"/>
      <c r="J193" s="96"/>
      <c r="K193" s="96"/>
      <c r="L193" s="96"/>
      <c r="M193" s="96"/>
      <c r="N193" s="96"/>
      <c r="O193" s="96"/>
      <c r="P193" s="96"/>
      <c r="Q193" s="96"/>
      <c r="R193" s="96"/>
      <c r="S193" s="96"/>
      <c r="T193" s="96"/>
      <c r="U193" s="96"/>
      <c r="V193" s="96"/>
      <c r="W193" s="96"/>
      <c r="X193" s="96"/>
      <c r="Y193" s="96"/>
      <c r="Z193" s="96"/>
      <c r="AA193" s="96"/>
      <c r="AB193" s="96"/>
      <c r="AC193" s="96"/>
      <c r="AD193" s="96"/>
    </row>
    <row r="194" spans="1:30">
      <c r="A194" s="95"/>
      <c r="B194" s="96"/>
      <c r="C194" s="96"/>
      <c r="D194" s="96"/>
      <c r="E194" s="96"/>
      <c r="F194" s="96"/>
      <c r="G194" s="96"/>
      <c r="H194" s="96"/>
      <c r="I194" s="96"/>
      <c r="J194" s="96"/>
      <c r="K194" s="96"/>
      <c r="L194" s="96"/>
      <c r="M194" s="96"/>
      <c r="N194" s="96"/>
      <c r="O194" s="96"/>
      <c r="P194" s="96"/>
      <c r="Q194" s="96"/>
      <c r="R194" s="96"/>
      <c r="S194" s="96"/>
      <c r="T194" s="96"/>
      <c r="U194" s="96"/>
      <c r="V194" s="96"/>
      <c r="W194" s="96"/>
      <c r="X194" s="96"/>
      <c r="Y194" s="96"/>
      <c r="Z194" s="96"/>
      <c r="AA194" s="96"/>
      <c r="AB194" s="96"/>
      <c r="AC194" s="96"/>
      <c r="AD194" s="96"/>
    </row>
    <row r="195" spans="1:30">
      <c r="A195" s="95" t="s">
        <v>712</v>
      </c>
      <c r="B195" s="96"/>
      <c r="C195" s="96"/>
      <c r="D195" s="96"/>
      <c r="E195" s="96"/>
      <c r="F195" s="96"/>
      <c r="G195" s="96"/>
      <c r="H195" s="96"/>
      <c r="I195" s="96"/>
      <c r="J195" s="96"/>
      <c r="K195" s="96"/>
      <c r="L195" s="96"/>
      <c r="M195" s="96"/>
      <c r="N195" s="96"/>
      <c r="O195" s="96"/>
      <c r="P195" s="96"/>
      <c r="Q195" s="96"/>
      <c r="R195" s="96"/>
      <c r="S195" s="96"/>
      <c r="T195" s="96"/>
      <c r="U195" s="96"/>
      <c r="V195" s="96"/>
      <c r="W195" s="96"/>
      <c r="X195" s="96"/>
      <c r="Y195" s="96"/>
      <c r="Z195" s="96"/>
      <c r="AA195" s="96"/>
      <c r="AB195" s="96"/>
      <c r="AC195" s="96"/>
      <c r="AD195" s="96"/>
    </row>
    <row r="196" spans="1:30">
      <c r="A196" s="95" t="s">
        <v>713</v>
      </c>
      <c r="B196" s="96"/>
      <c r="C196" s="96"/>
      <c r="D196" s="96"/>
      <c r="E196" s="96"/>
      <c r="F196" s="96"/>
      <c r="G196" s="96"/>
      <c r="H196" s="96"/>
      <c r="I196" s="96"/>
      <c r="J196" s="96"/>
      <c r="K196" s="96"/>
      <c r="L196" s="96"/>
      <c r="M196" s="96"/>
      <c r="N196" s="96"/>
      <c r="O196" s="96"/>
      <c r="P196" s="96"/>
      <c r="Q196" s="96"/>
      <c r="R196" s="96"/>
      <c r="S196" s="96"/>
      <c r="T196" s="96"/>
      <c r="U196" s="96"/>
      <c r="V196" s="96"/>
      <c r="W196" s="96"/>
      <c r="X196" s="96"/>
      <c r="Y196" s="96"/>
      <c r="Z196" s="96"/>
      <c r="AA196" s="96"/>
      <c r="AB196" s="96"/>
      <c r="AC196" s="96"/>
      <c r="AD196" s="96"/>
    </row>
    <row r="197" spans="1:30">
      <c r="A197" s="95"/>
      <c r="B197" s="96"/>
      <c r="C197" s="96"/>
      <c r="D197" s="96"/>
      <c r="E197" s="96"/>
      <c r="F197" s="96"/>
      <c r="G197" s="96"/>
      <c r="H197" s="96"/>
      <c r="I197" s="96"/>
      <c r="J197" s="96"/>
      <c r="K197" s="96"/>
      <c r="L197" s="96"/>
      <c r="M197" s="96"/>
      <c r="N197" s="96"/>
      <c r="O197" s="96"/>
      <c r="P197" s="96"/>
      <c r="Q197" s="96"/>
      <c r="R197" s="96"/>
      <c r="S197" s="96"/>
      <c r="T197" s="96"/>
      <c r="U197" s="96"/>
      <c r="V197" s="96"/>
      <c r="W197" s="96"/>
      <c r="X197" s="96"/>
      <c r="Y197" s="96"/>
      <c r="Z197" s="96"/>
      <c r="AA197" s="96"/>
      <c r="AB197" s="96"/>
      <c r="AC197" s="96"/>
      <c r="AD197" s="96"/>
    </row>
    <row r="198" spans="1:30">
      <c r="A198" s="95" t="s">
        <v>714</v>
      </c>
      <c r="B198" s="96"/>
      <c r="C198" s="96"/>
      <c r="D198" s="96"/>
      <c r="E198" s="96"/>
      <c r="F198" s="96"/>
      <c r="G198" s="96"/>
      <c r="H198" s="96"/>
      <c r="I198" s="96"/>
      <c r="J198" s="96"/>
      <c r="K198" s="96"/>
      <c r="L198" s="96"/>
      <c r="M198" s="96"/>
      <c r="N198" s="96"/>
      <c r="O198" s="96"/>
      <c r="P198" s="96"/>
      <c r="Q198" s="96"/>
      <c r="R198" s="96"/>
      <c r="S198" s="96"/>
      <c r="T198" s="96"/>
      <c r="U198" s="96"/>
      <c r="V198" s="96"/>
      <c r="W198" s="96"/>
      <c r="X198" s="96"/>
      <c r="Y198" s="96"/>
      <c r="Z198" s="96"/>
      <c r="AA198" s="96"/>
      <c r="AB198" s="96"/>
      <c r="AC198" s="96"/>
      <c r="AD198" s="96"/>
    </row>
    <row r="199" spans="1:30">
      <c r="A199" s="95"/>
      <c r="B199" s="96"/>
      <c r="C199" s="96"/>
      <c r="D199" s="96"/>
      <c r="E199" s="96"/>
      <c r="F199" s="96"/>
      <c r="G199" s="96"/>
      <c r="H199" s="96"/>
      <c r="I199" s="96"/>
      <c r="J199" s="96"/>
      <c r="K199" s="96"/>
      <c r="L199" s="96"/>
      <c r="M199" s="96"/>
      <c r="N199" s="96"/>
      <c r="O199" s="96"/>
      <c r="P199" s="96"/>
      <c r="Q199" s="96"/>
      <c r="R199" s="96"/>
      <c r="S199" s="96"/>
      <c r="T199" s="96"/>
      <c r="U199" s="96"/>
      <c r="V199" s="96"/>
      <c r="W199" s="96"/>
      <c r="X199" s="96"/>
      <c r="Y199" s="96"/>
      <c r="Z199" s="96"/>
      <c r="AA199" s="96"/>
      <c r="AB199" s="96"/>
      <c r="AC199" s="96"/>
      <c r="AD199" s="96"/>
    </row>
    <row r="200" spans="1:30" ht="13.5" thickBot="1">
      <c r="A200" s="95"/>
      <c r="B200" s="96"/>
      <c r="C200" s="96"/>
      <c r="D200" s="96"/>
      <c r="E200" s="96"/>
      <c r="F200" s="96"/>
      <c r="G200" s="96"/>
      <c r="H200" s="96"/>
      <c r="I200" s="96"/>
      <c r="J200" s="96"/>
      <c r="K200" s="96"/>
      <c r="L200" s="96"/>
      <c r="M200" s="96"/>
      <c r="N200" s="96"/>
      <c r="O200" s="96"/>
      <c r="P200" s="96"/>
      <c r="Q200" s="96"/>
      <c r="R200" s="96"/>
      <c r="S200" s="96"/>
      <c r="T200" s="96"/>
      <c r="U200" s="96"/>
      <c r="V200" s="96"/>
      <c r="W200" s="96"/>
      <c r="X200" s="96"/>
      <c r="Y200" s="96"/>
      <c r="Z200" s="96"/>
      <c r="AA200" s="96"/>
      <c r="AB200" s="96"/>
      <c r="AC200" s="96"/>
      <c r="AD200" s="96"/>
    </row>
    <row r="201" spans="1:30" ht="13.5" thickBot="1">
      <c r="A201" s="339"/>
      <c r="B201" s="262" t="s">
        <v>257</v>
      </c>
      <c r="C201" s="263"/>
      <c r="D201" s="349" t="s">
        <v>461</v>
      </c>
      <c r="E201" s="264"/>
      <c r="F201" s="263" t="s">
        <v>258</v>
      </c>
      <c r="G201" s="263"/>
      <c r="H201" s="349" t="s">
        <v>200</v>
      </c>
      <c r="I201" s="264"/>
      <c r="J201" s="327" t="s">
        <v>463</v>
      </c>
      <c r="K201" s="96"/>
      <c r="L201" s="96"/>
      <c r="M201" s="96"/>
      <c r="N201" s="96"/>
      <c r="O201" s="96"/>
      <c r="P201" s="96"/>
      <c r="Q201" s="96"/>
      <c r="R201" s="96"/>
      <c r="S201" s="96"/>
      <c r="T201" s="96"/>
      <c r="U201" s="96"/>
      <c r="V201" s="96"/>
      <c r="W201" s="96"/>
      <c r="X201" s="96"/>
      <c r="Y201" s="96"/>
      <c r="Z201" s="96"/>
      <c r="AA201" s="96"/>
      <c r="AB201" s="96"/>
      <c r="AC201" s="96"/>
      <c r="AD201" s="96"/>
    </row>
    <row r="202" spans="1:30" ht="13.5" thickBot="1">
      <c r="A202" s="324"/>
      <c r="B202" s="330" t="s">
        <v>274</v>
      </c>
      <c r="C202" s="343">
        <v>90</v>
      </c>
      <c r="D202" s="330" t="s">
        <v>274</v>
      </c>
      <c r="E202" s="331">
        <v>1500</v>
      </c>
      <c r="F202" s="337" t="s">
        <v>274</v>
      </c>
      <c r="G202" s="343">
        <v>150</v>
      </c>
      <c r="H202" s="330" t="s">
        <v>274</v>
      </c>
      <c r="I202" s="331">
        <v>200</v>
      </c>
      <c r="J202" s="336" t="s">
        <v>223</v>
      </c>
      <c r="K202" s="96"/>
      <c r="L202" s="96"/>
      <c r="M202" s="96"/>
      <c r="N202" s="96"/>
      <c r="O202" s="96"/>
      <c r="P202" s="96"/>
      <c r="Q202" s="96"/>
      <c r="R202" s="96"/>
      <c r="S202" s="96"/>
      <c r="T202" s="96"/>
      <c r="U202" s="96"/>
      <c r="V202" s="96"/>
      <c r="W202" s="96"/>
      <c r="X202" s="96"/>
      <c r="Y202" s="96"/>
      <c r="Z202" s="96"/>
      <c r="AA202" s="96"/>
      <c r="AB202" s="96"/>
      <c r="AC202" s="96"/>
      <c r="AD202" s="96"/>
    </row>
    <row r="203" spans="1:30" ht="13.5" thickBot="1">
      <c r="A203" s="340" t="s">
        <v>187</v>
      </c>
      <c r="B203" s="335" t="s">
        <v>544</v>
      </c>
      <c r="C203" s="344" t="s">
        <v>275</v>
      </c>
      <c r="D203" s="335" t="s">
        <v>544</v>
      </c>
      <c r="E203" s="335" t="s">
        <v>275</v>
      </c>
      <c r="F203" s="338" t="s">
        <v>544</v>
      </c>
      <c r="G203" s="344" t="s">
        <v>275</v>
      </c>
      <c r="H203" s="335" t="s">
        <v>544</v>
      </c>
      <c r="I203" s="335" t="s">
        <v>275</v>
      </c>
      <c r="J203" s="264"/>
      <c r="K203" s="96"/>
      <c r="L203" s="96"/>
      <c r="M203" s="96"/>
      <c r="N203" s="96"/>
      <c r="O203" s="96"/>
      <c r="P203" s="96"/>
      <c r="Q203" s="96"/>
      <c r="R203" s="96"/>
      <c r="S203" s="96"/>
      <c r="T203" s="96"/>
      <c r="U203" s="96"/>
      <c r="V203" s="96"/>
      <c r="W203" s="96"/>
      <c r="X203" s="96"/>
      <c r="Y203" s="96"/>
      <c r="Z203" s="96"/>
      <c r="AA203" s="96"/>
      <c r="AB203" s="96"/>
      <c r="AC203" s="96"/>
      <c r="AD203" s="96"/>
    </row>
    <row r="204" spans="1:30">
      <c r="A204" s="339">
        <v>0</v>
      </c>
      <c r="B204" s="376">
        <v>1</v>
      </c>
      <c r="C204" s="345">
        <f>+$C$202*B204*2</f>
        <v>180</v>
      </c>
      <c r="D204" s="333">
        <v>0</v>
      </c>
      <c r="E204" s="350">
        <f>+$E$202*D204*2</f>
        <v>0</v>
      </c>
      <c r="F204" s="347">
        <v>0</v>
      </c>
      <c r="G204" s="230">
        <f>+$G$202*F204*2</f>
        <v>0</v>
      </c>
      <c r="H204" s="333">
        <v>0</v>
      </c>
      <c r="I204" s="350">
        <f>+$I$202*H204*2</f>
        <v>0</v>
      </c>
      <c r="J204" s="350">
        <f>+I204+G204+E204+C204</f>
        <v>180</v>
      </c>
      <c r="K204" s="96"/>
      <c r="L204" s="96"/>
      <c r="M204" s="96"/>
      <c r="N204" s="96"/>
      <c r="O204" s="96"/>
      <c r="P204" s="96"/>
      <c r="Q204" s="96"/>
      <c r="R204" s="96"/>
      <c r="S204" s="96"/>
      <c r="T204" s="96"/>
      <c r="U204" s="96"/>
      <c r="V204" s="96"/>
      <c r="W204" s="96"/>
      <c r="X204" s="96"/>
      <c r="Y204" s="96"/>
      <c r="Z204" s="96"/>
      <c r="AA204" s="96"/>
      <c r="AB204" s="96"/>
      <c r="AC204" s="96"/>
      <c r="AD204" s="96"/>
    </row>
    <row r="205" spans="1:30">
      <c r="A205" s="341">
        <v>2</v>
      </c>
      <c r="B205" s="376">
        <v>1</v>
      </c>
      <c r="C205" s="345">
        <f t="shared" ref="C205:C214" si="40">+$C$202*B205*2</f>
        <v>180</v>
      </c>
      <c r="D205" s="333">
        <v>0</v>
      </c>
      <c r="E205" s="350">
        <f t="shared" ref="E205:E215" si="41">+$E$202*D205*2</f>
        <v>0</v>
      </c>
      <c r="F205" s="347">
        <v>0</v>
      </c>
      <c r="G205" s="230">
        <f t="shared" ref="G205:G214" si="42">+$G$202*F205*2</f>
        <v>0</v>
      </c>
      <c r="H205" s="333">
        <v>0</v>
      </c>
      <c r="I205" s="350">
        <f t="shared" ref="I205:I214" si="43">+$I$202*H205*2</f>
        <v>0</v>
      </c>
      <c r="J205" s="350">
        <f>+I205+G205+E205+C205</f>
        <v>180</v>
      </c>
      <c r="K205" s="96"/>
      <c r="L205" s="96"/>
      <c r="M205" s="96"/>
      <c r="N205" s="96"/>
      <c r="O205" s="96"/>
      <c r="P205" s="96"/>
      <c r="Q205" s="96"/>
      <c r="R205" s="96"/>
      <c r="S205" s="96"/>
      <c r="T205" s="96"/>
      <c r="U205" s="96"/>
      <c r="V205" s="96"/>
      <c r="W205" s="96"/>
      <c r="X205" s="96"/>
      <c r="Y205" s="96"/>
      <c r="Z205" s="96"/>
      <c r="AA205" s="96"/>
      <c r="AB205" s="96"/>
      <c r="AC205" s="96"/>
      <c r="AD205" s="96"/>
    </row>
    <row r="206" spans="1:30">
      <c r="A206" s="341">
        <v>4</v>
      </c>
      <c r="B206" s="376">
        <v>1</v>
      </c>
      <c r="C206" s="345">
        <f t="shared" si="40"/>
        <v>180</v>
      </c>
      <c r="D206" s="333">
        <v>0</v>
      </c>
      <c r="E206" s="350">
        <f t="shared" si="41"/>
        <v>0</v>
      </c>
      <c r="F206" s="347">
        <v>0</v>
      </c>
      <c r="G206" s="230">
        <f t="shared" si="42"/>
        <v>0</v>
      </c>
      <c r="H206" s="333">
        <v>0</v>
      </c>
      <c r="I206" s="350">
        <f t="shared" si="43"/>
        <v>0</v>
      </c>
      <c r="J206" s="350">
        <f t="shared" ref="J206:J215" si="44">+I206+G206+E206+C206</f>
        <v>180</v>
      </c>
      <c r="K206" s="96"/>
      <c r="L206" s="96"/>
      <c r="M206" s="96"/>
      <c r="N206" s="96"/>
      <c r="O206" s="96"/>
      <c r="P206" s="96"/>
      <c r="Q206" s="96"/>
      <c r="R206" s="96"/>
      <c r="S206" s="96"/>
      <c r="T206" s="96"/>
      <c r="U206" s="96"/>
      <c r="V206" s="96"/>
      <c r="W206" s="96"/>
      <c r="X206" s="96"/>
      <c r="Y206" s="96"/>
      <c r="Z206" s="96"/>
      <c r="AA206" s="96"/>
      <c r="AB206" s="96"/>
      <c r="AC206" s="96"/>
      <c r="AD206" s="96"/>
    </row>
    <row r="207" spans="1:30">
      <c r="A207" s="341">
        <v>6</v>
      </c>
      <c r="B207" s="376">
        <v>1</v>
      </c>
      <c r="C207" s="345">
        <f t="shared" si="40"/>
        <v>180</v>
      </c>
      <c r="D207" s="333">
        <v>0</v>
      </c>
      <c r="E207" s="350">
        <f t="shared" si="41"/>
        <v>0</v>
      </c>
      <c r="F207" s="347">
        <v>1</v>
      </c>
      <c r="G207" s="230">
        <f t="shared" si="42"/>
        <v>300</v>
      </c>
      <c r="H207" s="333">
        <v>0</v>
      </c>
      <c r="I207" s="350">
        <f t="shared" si="43"/>
        <v>0</v>
      </c>
      <c r="J207" s="350">
        <f t="shared" si="44"/>
        <v>480</v>
      </c>
      <c r="K207" s="96"/>
      <c r="L207" s="96"/>
      <c r="M207" s="96"/>
      <c r="N207" s="96"/>
      <c r="O207" s="96"/>
      <c r="P207" s="96"/>
      <c r="Q207" s="96"/>
      <c r="R207" s="96"/>
      <c r="S207" s="96"/>
      <c r="T207" s="96"/>
      <c r="U207" s="96"/>
      <c r="V207" s="96"/>
      <c r="W207" s="96"/>
      <c r="X207" s="96"/>
      <c r="Y207" s="96"/>
      <c r="Z207" s="96"/>
      <c r="AA207" s="96"/>
      <c r="AB207" s="96"/>
      <c r="AC207" s="96"/>
      <c r="AD207" s="96"/>
    </row>
    <row r="208" spans="1:30">
      <c r="A208" s="341">
        <v>8</v>
      </c>
      <c r="B208" s="376">
        <v>1</v>
      </c>
      <c r="C208" s="345">
        <f t="shared" si="40"/>
        <v>180</v>
      </c>
      <c r="D208" s="333">
        <v>0.125</v>
      </c>
      <c r="E208" s="350">
        <f t="shared" si="41"/>
        <v>375</v>
      </c>
      <c r="F208" s="347">
        <v>0</v>
      </c>
      <c r="G208" s="230">
        <f t="shared" si="42"/>
        <v>0</v>
      </c>
      <c r="H208" s="333">
        <v>0</v>
      </c>
      <c r="I208" s="350">
        <f t="shared" si="43"/>
        <v>0</v>
      </c>
      <c r="J208" s="350">
        <f t="shared" si="44"/>
        <v>555</v>
      </c>
      <c r="K208" s="96"/>
      <c r="L208" s="96"/>
      <c r="M208" s="96"/>
      <c r="N208" s="96"/>
      <c r="O208" s="96"/>
      <c r="P208" s="96"/>
      <c r="Q208" s="96"/>
      <c r="R208" s="96"/>
      <c r="S208" s="96"/>
      <c r="T208" s="96"/>
      <c r="U208" s="96"/>
      <c r="V208" s="96"/>
      <c r="W208" s="96"/>
      <c r="X208" s="96"/>
      <c r="Y208" s="96"/>
      <c r="Z208" s="96"/>
      <c r="AA208" s="96"/>
      <c r="AB208" s="96"/>
      <c r="AC208" s="96"/>
      <c r="AD208" s="96"/>
    </row>
    <row r="209" spans="1:30">
      <c r="A209" s="341">
        <v>10</v>
      </c>
      <c r="B209" s="376">
        <v>1</v>
      </c>
      <c r="C209" s="345">
        <f t="shared" si="40"/>
        <v>180</v>
      </c>
      <c r="D209" s="333">
        <v>0</v>
      </c>
      <c r="E209" s="350">
        <f t="shared" si="41"/>
        <v>0</v>
      </c>
      <c r="F209" s="347">
        <v>0</v>
      </c>
      <c r="G209" s="230">
        <f t="shared" si="42"/>
        <v>0</v>
      </c>
      <c r="H209" s="333">
        <v>0</v>
      </c>
      <c r="I209" s="350">
        <f t="shared" si="43"/>
        <v>0</v>
      </c>
      <c r="J209" s="350">
        <f t="shared" si="44"/>
        <v>180</v>
      </c>
      <c r="K209" s="96"/>
      <c r="L209" s="96"/>
      <c r="M209" s="96"/>
      <c r="N209" s="96"/>
      <c r="O209" s="96"/>
      <c r="P209" s="96"/>
      <c r="Q209" s="96"/>
      <c r="R209" s="96"/>
      <c r="S209" s="96"/>
      <c r="T209" s="96"/>
      <c r="U209" s="96"/>
      <c r="V209" s="96"/>
      <c r="W209" s="96"/>
      <c r="X209" s="96"/>
      <c r="Y209" s="96"/>
      <c r="Z209" s="96"/>
      <c r="AA209" s="96"/>
      <c r="AB209" s="96"/>
      <c r="AC209" s="96"/>
      <c r="AD209" s="96"/>
    </row>
    <row r="210" spans="1:30">
      <c r="A210" s="341">
        <v>12</v>
      </c>
      <c r="B210" s="376">
        <v>1</v>
      </c>
      <c r="C210" s="345">
        <f t="shared" si="40"/>
        <v>180</v>
      </c>
      <c r="D210" s="333">
        <v>0.5</v>
      </c>
      <c r="E210" s="350">
        <f t="shared" si="41"/>
        <v>1500</v>
      </c>
      <c r="F210" s="347">
        <v>0</v>
      </c>
      <c r="G210" s="230">
        <f t="shared" si="42"/>
        <v>0</v>
      </c>
      <c r="H210" s="333">
        <v>0</v>
      </c>
      <c r="I210" s="350">
        <f t="shared" si="43"/>
        <v>0</v>
      </c>
      <c r="J210" s="350">
        <f t="shared" si="44"/>
        <v>1680</v>
      </c>
      <c r="K210" s="96"/>
      <c r="L210" s="96"/>
      <c r="M210" s="96"/>
      <c r="N210" s="96"/>
      <c r="O210" s="96"/>
      <c r="P210" s="96"/>
      <c r="Q210" s="96"/>
      <c r="R210" s="96"/>
      <c r="S210" s="96"/>
      <c r="T210" s="96"/>
      <c r="U210" s="96"/>
      <c r="V210" s="96"/>
      <c r="W210" s="96"/>
      <c r="X210" s="96"/>
      <c r="Y210" s="96"/>
      <c r="Z210" s="96"/>
      <c r="AA210" s="96"/>
      <c r="AB210" s="96"/>
      <c r="AC210" s="96"/>
      <c r="AD210" s="96"/>
    </row>
    <row r="211" spans="1:30">
      <c r="A211" s="341">
        <v>14</v>
      </c>
      <c r="B211" s="376">
        <v>1</v>
      </c>
      <c r="C211" s="345">
        <f t="shared" si="40"/>
        <v>180</v>
      </c>
      <c r="D211" s="333">
        <v>0</v>
      </c>
      <c r="E211" s="350">
        <f t="shared" si="41"/>
        <v>0</v>
      </c>
      <c r="F211" s="347">
        <v>1</v>
      </c>
      <c r="G211" s="230">
        <f t="shared" si="42"/>
        <v>300</v>
      </c>
      <c r="H211" s="333">
        <v>0</v>
      </c>
      <c r="I211" s="350">
        <f t="shared" si="43"/>
        <v>0</v>
      </c>
      <c r="J211" s="350">
        <f t="shared" si="44"/>
        <v>480</v>
      </c>
      <c r="K211" s="96"/>
      <c r="L211" s="96"/>
      <c r="M211" s="96"/>
      <c r="N211" s="96"/>
      <c r="O211" s="96"/>
      <c r="P211" s="96"/>
      <c r="Q211" s="96"/>
      <c r="R211" s="96"/>
      <c r="S211" s="96"/>
      <c r="T211" s="96"/>
      <c r="U211" s="96"/>
      <c r="V211" s="96"/>
      <c r="W211" s="96"/>
      <c r="X211" s="96"/>
      <c r="Y211" s="96"/>
      <c r="Z211" s="96"/>
      <c r="AA211" s="96"/>
      <c r="AB211" s="96"/>
      <c r="AC211" s="96"/>
      <c r="AD211" s="96"/>
    </row>
    <row r="212" spans="1:30">
      <c r="A212" s="341">
        <v>16</v>
      </c>
      <c r="B212" s="376">
        <v>1</v>
      </c>
      <c r="C212" s="345">
        <f t="shared" si="40"/>
        <v>180</v>
      </c>
      <c r="D212" s="333">
        <v>0</v>
      </c>
      <c r="E212" s="350">
        <f t="shared" si="41"/>
        <v>0</v>
      </c>
      <c r="F212" s="347">
        <v>1</v>
      </c>
      <c r="G212" s="230">
        <f t="shared" si="42"/>
        <v>300</v>
      </c>
      <c r="H212" s="333">
        <v>1</v>
      </c>
      <c r="I212" s="350">
        <f t="shared" si="43"/>
        <v>400</v>
      </c>
      <c r="J212" s="350">
        <f>+I212+G212+E212+C212</f>
        <v>880</v>
      </c>
      <c r="K212" s="96"/>
      <c r="L212" s="96"/>
      <c r="M212" s="96"/>
      <c r="N212" s="96"/>
      <c r="O212" s="96"/>
      <c r="P212" s="96"/>
      <c r="Q212" s="96"/>
      <c r="R212" s="96"/>
      <c r="S212" s="96"/>
      <c r="T212" s="96"/>
      <c r="U212" s="96"/>
      <c r="V212" s="96"/>
      <c r="W212" s="96"/>
      <c r="X212" s="96"/>
      <c r="Y212" s="96"/>
      <c r="Z212" s="96"/>
      <c r="AA212" s="96"/>
      <c r="AB212" s="96"/>
      <c r="AC212" s="96"/>
      <c r="AD212" s="96"/>
    </row>
    <row r="213" spans="1:30">
      <c r="A213" s="341">
        <v>18</v>
      </c>
      <c r="B213" s="376">
        <v>1</v>
      </c>
      <c r="C213" s="345">
        <f t="shared" si="40"/>
        <v>180</v>
      </c>
      <c r="D213" s="333">
        <v>0.125</v>
      </c>
      <c r="E213" s="350">
        <f t="shared" si="41"/>
        <v>375</v>
      </c>
      <c r="F213" s="347">
        <v>1</v>
      </c>
      <c r="G213" s="230">
        <f t="shared" si="42"/>
        <v>300</v>
      </c>
      <c r="H213" s="333">
        <v>1</v>
      </c>
      <c r="I213" s="350">
        <f t="shared" si="43"/>
        <v>400</v>
      </c>
      <c r="J213" s="350">
        <f t="shared" si="44"/>
        <v>1255</v>
      </c>
      <c r="K213" s="96"/>
      <c r="L213" s="96"/>
      <c r="M213" s="96"/>
      <c r="N213" s="96"/>
      <c r="O213" s="96"/>
      <c r="P213" s="96"/>
      <c r="Q213" s="96"/>
      <c r="R213" s="96"/>
      <c r="S213" s="96"/>
      <c r="T213" s="96"/>
      <c r="U213" s="96"/>
      <c r="V213" s="96"/>
      <c r="W213" s="96"/>
      <c r="X213" s="96"/>
      <c r="Y213" s="96"/>
      <c r="Z213" s="96"/>
      <c r="AA213" s="96"/>
      <c r="AB213" s="96"/>
      <c r="AC213" s="96"/>
      <c r="AD213" s="96"/>
    </row>
    <row r="214" spans="1:30">
      <c r="A214" s="341">
        <v>20</v>
      </c>
      <c r="B214" s="376">
        <v>1</v>
      </c>
      <c r="C214" s="345">
        <f t="shared" si="40"/>
        <v>180</v>
      </c>
      <c r="D214" s="333">
        <v>0</v>
      </c>
      <c r="E214" s="350">
        <f t="shared" si="41"/>
        <v>0</v>
      </c>
      <c r="F214" s="347">
        <v>1</v>
      </c>
      <c r="G214" s="230">
        <f t="shared" si="42"/>
        <v>300</v>
      </c>
      <c r="H214" s="333">
        <v>1</v>
      </c>
      <c r="I214" s="350">
        <f t="shared" si="43"/>
        <v>400</v>
      </c>
      <c r="J214" s="350">
        <f t="shared" si="44"/>
        <v>880</v>
      </c>
      <c r="K214" s="96"/>
      <c r="L214" s="96"/>
      <c r="M214" s="96"/>
      <c r="N214" s="96"/>
      <c r="O214" s="96"/>
      <c r="P214" s="96"/>
      <c r="Q214" s="96"/>
      <c r="R214" s="96"/>
      <c r="S214" s="96"/>
      <c r="T214" s="96"/>
      <c r="U214" s="96"/>
      <c r="V214" s="96"/>
      <c r="W214" s="96"/>
      <c r="X214" s="96"/>
      <c r="Y214" s="96"/>
      <c r="Z214" s="96"/>
      <c r="AA214" s="96"/>
      <c r="AB214" s="96"/>
      <c r="AC214" s="96"/>
      <c r="AD214" s="96"/>
    </row>
    <row r="215" spans="1:30" ht="13.5" thickBot="1">
      <c r="A215" s="340">
        <v>22</v>
      </c>
      <c r="B215" s="377">
        <v>1</v>
      </c>
      <c r="C215" s="346">
        <f>+$C$202*B215*2</f>
        <v>180</v>
      </c>
      <c r="D215" s="334">
        <v>1</v>
      </c>
      <c r="E215" s="350">
        <f t="shared" si="41"/>
        <v>3000</v>
      </c>
      <c r="F215" s="348">
        <v>1</v>
      </c>
      <c r="G215" s="342">
        <f>+$G$202*F215*2</f>
        <v>300</v>
      </c>
      <c r="H215" s="334">
        <v>1</v>
      </c>
      <c r="I215" s="351">
        <f>+$I$202*H215*2</f>
        <v>400</v>
      </c>
      <c r="J215" s="351">
        <f t="shared" si="44"/>
        <v>3880</v>
      </c>
      <c r="K215" s="96"/>
      <c r="L215" s="96"/>
      <c r="M215" s="96"/>
      <c r="N215" s="96"/>
      <c r="O215" s="96"/>
      <c r="P215" s="96"/>
      <c r="Q215" s="96"/>
      <c r="R215" s="96"/>
      <c r="S215" s="96"/>
      <c r="T215" s="96"/>
      <c r="U215" s="96"/>
      <c r="V215" s="96"/>
      <c r="W215" s="96"/>
      <c r="X215" s="96"/>
      <c r="Y215" s="96"/>
      <c r="Z215" s="96"/>
      <c r="AA215" s="96"/>
      <c r="AB215" s="96"/>
      <c r="AC215" s="96"/>
      <c r="AD215" s="96"/>
    </row>
    <row r="216" spans="1:30">
      <c r="A216" s="96"/>
      <c r="B216" s="96"/>
      <c r="C216" s="96"/>
      <c r="D216" s="96"/>
      <c r="E216" s="96" t="s">
        <v>2</v>
      </c>
      <c r="F216" s="96"/>
      <c r="G216" s="96"/>
      <c r="H216" s="96"/>
      <c r="I216" s="96"/>
      <c r="J216" s="96"/>
      <c r="K216" s="96"/>
      <c r="L216" s="96"/>
      <c r="M216" s="96"/>
      <c r="N216" s="96"/>
      <c r="O216" s="96"/>
      <c r="P216" s="96"/>
      <c r="Q216" s="96"/>
      <c r="R216" s="96"/>
      <c r="S216" s="96"/>
      <c r="T216" s="96"/>
      <c r="U216" s="96"/>
      <c r="V216" s="96"/>
      <c r="W216" s="96"/>
      <c r="X216" s="96"/>
      <c r="Y216" s="96"/>
      <c r="Z216" s="96"/>
      <c r="AA216" s="96"/>
      <c r="AB216" s="96"/>
      <c r="AC216" s="96"/>
      <c r="AD216" s="96"/>
    </row>
    <row r="217" spans="1:30">
      <c r="A217" s="95" t="s">
        <v>462</v>
      </c>
      <c r="B217" s="95"/>
      <c r="C217" s="95"/>
      <c r="D217" s="95"/>
      <c r="E217" s="95"/>
      <c r="F217" s="95"/>
      <c r="G217" s="95"/>
      <c r="H217" s="95"/>
      <c r="I217" s="95"/>
      <c r="J217" s="95">
        <f>SUM(J204:J215)</f>
        <v>10810</v>
      </c>
      <c r="K217" s="95" t="s">
        <v>449</v>
      </c>
      <c r="L217" s="96"/>
      <c r="M217" s="96"/>
      <c r="N217" s="96"/>
      <c r="O217" s="96"/>
      <c r="P217" s="96"/>
      <c r="Q217" s="96"/>
      <c r="R217" s="96"/>
      <c r="S217" s="96"/>
      <c r="T217" s="96"/>
      <c r="U217" s="96"/>
      <c r="V217" s="96"/>
      <c r="W217" s="96"/>
      <c r="X217" s="96"/>
      <c r="Y217" s="96"/>
      <c r="Z217" s="96"/>
      <c r="AA217" s="96"/>
      <c r="AB217" s="96"/>
      <c r="AC217" s="96"/>
      <c r="AD217" s="96"/>
    </row>
    <row r="218" spans="1:30">
      <c r="A218" s="96"/>
      <c r="B218" s="96"/>
      <c r="C218" s="96"/>
      <c r="D218" s="96"/>
      <c r="E218" s="96"/>
      <c r="F218" s="96"/>
      <c r="G218" s="96"/>
      <c r="H218" s="96"/>
      <c r="I218" s="96"/>
      <c r="J218" s="96"/>
      <c r="K218" s="96"/>
      <c r="L218" s="96"/>
      <c r="M218" s="96"/>
      <c r="N218" s="96"/>
      <c r="O218" s="96"/>
      <c r="P218" s="96"/>
      <c r="Q218" s="96"/>
      <c r="R218" s="96"/>
      <c r="S218" s="96"/>
      <c r="T218" s="96"/>
      <c r="U218" s="96"/>
      <c r="V218" s="96"/>
      <c r="W218" s="96"/>
      <c r="X218" s="96"/>
      <c r="Y218" s="96"/>
      <c r="Z218" s="96"/>
      <c r="AA218" s="96"/>
      <c r="AB218" s="96"/>
      <c r="AC218" s="96"/>
      <c r="AD218" s="96"/>
    </row>
    <row r="219" spans="1:30">
      <c r="A219" s="96"/>
      <c r="B219" s="96"/>
      <c r="C219" s="96"/>
      <c r="D219" s="96"/>
      <c r="E219" s="96"/>
      <c r="F219" s="96"/>
      <c r="G219" s="96"/>
      <c r="H219" s="96"/>
      <c r="I219" s="96"/>
      <c r="J219" s="96"/>
      <c r="K219" s="96"/>
      <c r="L219" s="96"/>
      <c r="M219" s="96"/>
      <c r="N219" s="96"/>
      <c r="O219" s="96"/>
      <c r="P219" s="96"/>
      <c r="Q219" s="96"/>
      <c r="R219" s="96"/>
      <c r="S219" s="96"/>
      <c r="T219" s="96"/>
      <c r="U219" s="96"/>
      <c r="V219" s="96"/>
      <c r="W219" s="96"/>
      <c r="X219" s="96"/>
      <c r="Y219" s="96"/>
      <c r="Z219" s="96"/>
      <c r="AA219" s="96"/>
      <c r="AB219" s="96"/>
      <c r="AC219" s="96"/>
      <c r="AD219" s="96"/>
    </row>
    <row r="220" spans="1:30">
      <c r="A220" s="96"/>
      <c r="B220" s="96"/>
      <c r="C220" s="96"/>
      <c r="D220" s="96"/>
      <c r="E220" s="96"/>
      <c r="F220" s="96"/>
      <c r="G220" s="96"/>
      <c r="H220" s="96"/>
      <c r="I220" s="96"/>
      <c r="J220" s="96"/>
      <c r="K220" s="96"/>
      <c r="L220" s="96"/>
      <c r="M220" s="96"/>
      <c r="N220" s="96"/>
      <c r="O220" s="96"/>
      <c r="P220" s="96"/>
      <c r="Q220" s="96"/>
      <c r="R220" s="96"/>
      <c r="S220" s="96"/>
      <c r="T220" s="96"/>
      <c r="U220" s="96"/>
      <c r="V220" s="96"/>
      <c r="W220" s="96"/>
      <c r="X220" s="96"/>
      <c r="Y220" s="96"/>
      <c r="Z220" s="96"/>
      <c r="AA220" s="96"/>
      <c r="AB220" s="96"/>
      <c r="AC220" s="96"/>
      <c r="AD220" s="96"/>
    </row>
    <row r="221" spans="1:30">
      <c r="A221" s="96"/>
      <c r="B221" s="96"/>
      <c r="C221" s="96"/>
      <c r="D221" s="96"/>
      <c r="E221" s="96"/>
      <c r="F221" s="96"/>
      <c r="G221" s="96"/>
      <c r="H221" s="96"/>
      <c r="I221" s="96"/>
      <c r="J221" s="96"/>
      <c r="K221" s="96"/>
      <c r="L221" s="96"/>
      <c r="M221" s="96"/>
      <c r="N221" s="96"/>
      <c r="O221" s="96"/>
      <c r="P221" s="96"/>
      <c r="Q221" s="96"/>
      <c r="R221" s="96"/>
      <c r="S221" s="96"/>
      <c r="T221" s="96"/>
      <c r="U221" s="96"/>
      <c r="V221" s="96"/>
      <c r="W221" s="96"/>
      <c r="X221" s="96"/>
      <c r="Y221" s="96"/>
      <c r="Z221" s="96"/>
      <c r="AA221" s="96"/>
      <c r="AB221" s="96"/>
      <c r="AC221" s="96"/>
      <c r="AD221" s="96"/>
    </row>
    <row r="222" spans="1:30">
      <c r="A222" s="96"/>
      <c r="B222" s="96"/>
      <c r="C222" s="96"/>
      <c r="D222" s="96"/>
      <c r="E222" s="96"/>
      <c r="F222" s="96"/>
      <c r="G222" s="96"/>
      <c r="H222" s="96"/>
      <c r="I222" s="96"/>
      <c r="J222" s="96"/>
      <c r="K222" s="96"/>
      <c r="L222" s="96"/>
      <c r="M222" s="96"/>
      <c r="N222" s="96"/>
      <c r="O222" s="96"/>
      <c r="P222" s="96"/>
      <c r="Q222" s="96"/>
      <c r="R222" s="96"/>
      <c r="S222" s="96"/>
      <c r="T222" s="96"/>
      <c r="U222" s="96"/>
      <c r="V222" s="96"/>
      <c r="W222" s="96"/>
      <c r="X222" s="96"/>
      <c r="Y222" s="96"/>
      <c r="Z222" s="96"/>
      <c r="AA222" s="96"/>
      <c r="AB222" s="96"/>
      <c r="AC222" s="96"/>
      <c r="AD222" s="96"/>
    </row>
    <row r="223" spans="1:30">
      <c r="A223" s="96"/>
      <c r="B223" s="96"/>
      <c r="C223" s="96"/>
      <c r="D223" s="96"/>
      <c r="E223" s="96"/>
      <c r="F223" s="96"/>
      <c r="G223" s="96"/>
      <c r="H223" s="96"/>
      <c r="I223" s="96"/>
      <c r="J223" s="96"/>
      <c r="K223" s="96"/>
      <c r="L223" s="96"/>
      <c r="M223" s="96"/>
      <c r="N223" s="96"/>
      <c r="O223" s="96"/>
      <c r="P223" s="96"/>
      <c r="Q223" s="96"/>
      <c r="R223" s="96"/>
      <c r="S223" s="96"/>
      <c r="T223" s="96"/>
      <c r="U223" s="96"/>
      <c r="V223" s="96"/>
      <c r="W223" s="96"/>
      <c r="X223" s="96"/>
      <c r="Y223" s="96"/>
      <c r="Z223" s="96"/>
      <c r="AA223" s="96"/>
      <c r="AB223" s="96"/>
      <c r="AC223" s="96"/>
      <c r="AD223" s="96"/>
    </row>
    <row r="224" spans="1:30">
      <c r="A224" s="96"/>
      <c r="B224" s="96"/>
      <c r="C224" s="96"/>
      <c r="D224" s="96"/>
      <c r="E224" s="96"/>
      <c r="F224" s="96"/>
      <c r="G224" s="96"/>
      <c r="H224" s="96"/>
      <c r="I224" s="96"/>
      <c r="J224" s="96"/>
      <c r="K224" s="96"/>
      <c r="L224" s="96"/>
      <c r="M224" s="96"/>
      <c r="N224" s="96"/>
      <c r="O224" s="96"/>
      <c r="P224" s="96"/>
      <c r="Q224" s="96"/>
      <c r="R224" s="96"/>
      <c r="S224" s="96"/>
      <c r="T224" s="96"/>
      <c r="U224" s="96"/>
      <c r="V224" s="96"/>
      <c r="W224" s="96"/>
      <c r="X224" s="96"/>
      <c r="Y224" s="96"/>
      <c r="Z224" s="96"/>
      <c r="AA224" s="96"/>
      <c r="AB224" s="96"/>
      <c r="AC224" s="96"/>
      <c r="AD224" s="96"/>
    </row>
    <row r="225" spans="1:30">
      <c r="A225" s="96"/>
      <c r="B225" s="96"/>
      <c r="C225" s="96"/>
      <c r="D225" s="96"/>
      <c r="E225" s="96"/>
      <c r="F225" s="96"/>
      <c r="G225" s="96"/>
      <c r="H225" s="96"/>
      <c r="I225" s="96"/>
      <c r="J225" s="96"/>
      <c r="K225" s="96"/>
      <c r="L225" s="96"/>
      <c r="M225" s="96"/>
      <c r="N225" s="96"/>
      <c r="O225" s="96"/>
      <c r="P225" s="96"/>
      <c r="Q225" s="96"/>
      <c r="R225" s="96"/>
      <c r="S225" s="96"/>
      <c r="T225" s="96"/>
      <c r="U225" s="96"/>
      <c r="V225" s="96"/>
      <c r="W225" s="96"/>
      <c r="X225" s="96"/>
      <c r="Y225" s="96"/>
      <c r="Z225" s="96"/>
      <c r="AA225" s="96"/>
      <c r="AB225" s="96"/>
      <c r="AC225" s="96"/>
      <c r="AD225" s="96"/>
    </row>
    <row r="226" spans="1:30">
      <c r="A226" s="96"/>
      <c r="B226" s="96"/>
      <c r="C226" s="96"/>
      <c r="D226" s="96"/>
      <c r="E226" s="96"/>
      <c r="F226" s="96"/>
      <c r="G226" s="96"/>
      <c r="H226" s="96"/>
      <c r="I226" s="96"/>
      <c r="J226" s="96"/>
      <c r="K226" s="96"/>
      <c r="L226" s="96"/>
      <c r="M226" s="96"/>
      <c r="N226" s="96"/>
      <c r="O226" s="96"/>
      <c r="P226" s="96"/>
      <c r="Q226" s="96"/>
      <c r="R226" s="96"/>
      <c r="S226" s="96"/>
      <c r="T226" s="96"/>
      <c r="U226" s="96"/>
      <c r="V226" s="96"/>
      <c r="W226" s="96"/>
      <c r="X226" s="96"/>
      <c r="Y226" s="96"/>
      <c r="Z226" s="96"/>
      <c r="AA226" s="96"/>
      <c r="AB226" s="96"/>
      <c r="AC226" s="96"/>
      <c r="AD226" s="96"/>
    </row>
    <row r="227" spans="1:30">
      <c r="A227" s="96"/>
      <c r="B227" s="96"/>
      <c r="C227" s="96"/>
      <c r="D227" s="96"/>
      <c r="E227" s="96"/>
      <c r="F227" s="96"/>
      <c r="G227" s="96"/>
      <c r="H227" s="96"/>
      <c r="I227" s="96"/>
      <c r="J227" s="96"/>
      <c r="K227" s="96"/>
      <c r="L227" s="96"/>
      <c r="M227" s="96"/>
      <c r="N227" s="96"/>
      <c r="O227" s="96"/>
      <c r="P227" s="96"/>
      <c r="Q227" s="96"/>
      <c r="R227" s="96"/>
      <c r="S227" s="96"/>
      <c r="T227" s="96"/>
      <c r="U227" s="96"/>
      <c r="V227" s="96"/>
      <c r="W227" s="96"/>
      <c r="X227" s="96"/>
      <c r="Y227" s="96"/>
      <c r="Z227" s="96"/>
      <c r="AA227" s="96"/>
      <c r="AB227" s="96"/>
      <c r="AC227" s="96"/>
      <c r="AD227" s="96"/>
    </row>
    <row r="228" spans="1:30">
      <c r="A228" s="96"/>
      <c r="B228" s="96"/>
      <c r="C228" s="96"/>
      <c r="D228" s="96"/>
      <c r="E228" s="96"/>
      <c r="F228" s="96"/>
      <c r="G228" s="96"/>
      <c r="H228" s="96"/>
      <c r="I228" s="96"/>
      <c r="J228" s="96"/>
      <c r="K228" s="96"/>
      <c r="L228" s="96"/>
      <c r="M228" s="96"/>
      <c r="N228" s="96"/>
      <c r="O228" s="96"/>
      <c r="P228" s="96"/>
      <c r="Q228" s="96"/>
      <c r="R228" s="96"/>
      <c r="S228" s="96"/>
      <c r="T228" s="96"/>
      <c r="U228" s="96"/>
      <c r="V228" s="96"/>
      <c r="W228" s="96"/>
      <c r="X228" s="96"/>
      <c r="Y228" s="96"/>
      <c r="Z228" s="96"/>
      <c r="AA228" s="96"/>
      <c r="AB228" s="96"/>
      <c r="AC228" s="96"/>
      <c r="AD228" s="96"/>
    </row>
    <row r="229" spans="1:30">
      <c r="A229" s="96"/>
      <c r="B229" s="96"/>
      <c r="C229" s="96"/>
      <c r="D229" s="96"/>
      <c r="E229" s="96"/>
      <c r="F229" s="96"/>
      <c r="G229" s="96"/>
      <c r="H229" s="96"/>
      <c r="I229" s="96"/>
      <c r="J229" s="96"/>
      <c r="K229" s="96"/>
      <c r="L229" s="96"/>
      <c r="M229" s="96"/>
      <c r="N229" s="96"/>
      <c r="O229" s="96"/>
      <c r="P229" s="96"/>
      <c r="Q229" s="96"/>
      <c r="R229" s="96"/>
      <c r="S229" s="96"/>
      <c r="T229" s="96"/>
      <c r="U229" s="96"/>
      <c r="V229" s="96"/>
      <c r="W229" s="96"/>
      <c r="X229" s="96"/>
      <c r="Y229" s="96"/>
      <c r="Z229" s="96"/>
      <c r="AA229" s="96"/>
      <c r="AB229" s="96"/>
      <c r="AC229" s="96"/>
      <c r="AD229" s="96"/>
    </row>
    <row r="230" spans="1:30">
      <c r="A230" s="96"/>
      <c r="B230" s="96"/>
      <c r="C230" s="96"/>
      <c r="D230" s="96"/>
      <c r="E230" s="96"/>
      <c r="F230" s="96"/>
      <c r="G230" s="96"/>
      <c r="H230" s="96"/>
      <c r="I230" s="96"/>
      <c r="J230" s="96"/>
      <c r="K230" s="96"/>
      <c r="L230" s="96"/>
      <c r="M230" s="96"/>
      <c r="N230" s="96"/>
      <c r="O230" s="96"/>
      <c r="P230" s="96"/>
      <c r="Q230" s="96"/>
      <c r="R230" s="96"/>
      <c r="S230" s="96"/>
      <c r="T230" s="96"/>
      <c r="U230" s="96"/>
      <c r="V230" s="96"/>
      <c r="W230" s="96"/>
      <c r="X230" s="96"/>
      <c r="Y230" s="96"/>
      <c r="Z230" s="96"/>
      <c r="AA230" s="96"/>
      <c r="AB230" s="96"/>
      <c r="AC230" s="96"/>
      <c r="AD230" s="96"/>
    </row>
    <row r="231" spans="1:30">
      <c r="A231" s="96"/>
      <c r="B231" s="96"/>
      <c r="C231" s="96"/>
      <c r="D231" s="96"/>
      <c r="E231" s="96"/>
      <c r="F231" s="96"/>
      <c r="G231" s="96"/>
      <c r="H231" s="96"/>
      <c r="I231" s="96"/>
      <c r="J231" s="96"/>
      <c r="K231" s="96"/>
      <c r="L231" s="96"/>
      <c r="M231" s="96"/>
      <c r="N231" s="96"/>
      <c r="O231" s="96"/>
      <c r="P231" s="96"/>
      <c r="Q231" s="96"/>
      <c r="R231" s="96"/>
      <c r="S231" s="96"/>
      <c r="T231" s="96"/>
      <c r="U231" s="96"/>
      <c r="V231" s="96"/>
      <c r="W231" s="96"/>
      <c r="X231" s="96"/>
      <c r="Y231" s="96"/>
      <c r="Z231" s="96"/>
      <c r="AA231" s="96"/>
      <c r="AB231" s="96"/>
      <c r="AC231" s="96"/>
      <c r="AD231" s="96"/>
    </row>
    <row r="232" spans="1:30">
      <c r="A232" s="96"/>
      <c r="B232" s="96"/>
      <c r="C232" s="96"/>
      <c r="D232" s="96"/>
      <c r="E232" s="96"/>
      <c r="F232" s="96"/>
      <c r="G232" s="96"/>
      <c r="H232" s="96"/>
      <c r="I232" s="96"/>
      <c r="J232" s="96"/>
      <c r="K232" s="96"/>
      <c r="L232" s="96"/>
      <c r="M232" s="96"/>
      <c r="N232" s="96"/>
      <c r="O232" s="96"/>
      <c r="P232" s="96"/>
      <c r="Q232" s="96"/>
      <c r="R232" s="96"/>
      <c r="S232" s="96"/>
      <c r="T232" s="96"/>
      <c r="U232" s="96"/>
      <c r="V232" s="96"/>
      <c r="W232" s="96"/>
      <c r="X232" s="96"/>
      <c r="Y232" s="96"/>
      <c r="Z232" s="96"/>
      <c r="AA232" s="96"/>
      <c r="AB232" s="96"/>
      <c r="AC232" s="96"/>
      <c r="AD232" s="96"/>
    </row>
    <row r="233" spans="1:30">
      <c r="A233" s="96"/>
      <c r="B233" s="96"/>
      <c r="C233" s="96"/>
      <c r="D233" s="96"/>
      <c r="E233" s="96"/>
      <c r="F233" s="96"/>
      <c r="G233" s="96"/>
      <c r="H233" s="96"/>
      <c r="I233" s="96"/>
      <c r="J233" s="96"/>
      <c r="K233" s="96"/>
      <c r="L233" s="96"/>
      <c r="M233" s="96"/>
      <c r="N233" s="96"/>
      <c r="O233" s="96"/>
      <c r="P233" s="96"/>
      <c r="Q233" s="96"/>
      <c r="R233" s="96"/>
      <c r="S233" s="96"/>
      <c r="T233" s="96"/>
      <c r="U233" s="96"/>
      <c r="V233" s="96"/>
      <c r="W233" s="96"/>
      <c r="X233" s="96"/>
      <c r="Y233" s="96"/>
      <c r="Z233" s="96"/>
      <c r="AA233" s="96"/>
      <c r="AB233" s="96"/>
      <c r="AC233" s="96"/>
      <c r="AD233" s="96"/>
    </row>
    <row r="234" spans="1:30">
      <c r="A234" s="96"/>
      <c r="B234" s="96"/>
      <c r="C234" s="96"/>
      <c r="D234" s="96"/>
      <c r="E234" s="96"/>
      <c r="F234" s="96"/>
      <c r="G234" s="96"/>
      <c r="H234" s="96"/>
      <c r="I234" s="96"/>
      <c r="J234" s="96"/>
      <c r="K234" s="96"/>
      <c r="L234" s="96"/>
      <c r="M234" s="96"/>
      <c r="N234" s="96"/>
      <c r="O234" s="96"/>
      <c r="P234" s="96"/>
      <c r="Q234" s="96"/>
      <c r="R234" s="96"/>
      <c r="S234" s="96"/>
      <c r="T234" s="96"/>
      <c r="U234" s="96"/>
      <c r="V234" s="96"/>
      <c r="W234" s="96"/>
      <c r="X234" s="96"/>
      <c r="Y234" s="96"/>
      <c r="Z234" s="96"/>
      <c r="AA234" s="96"/>
      <c r="AB234" s="96"/>
      <c r="AC234" s="96"/>
      <c r="AD234" s="96"/>
    </row>
    <row r="235" spans="1:30">
      <c r="A235" s="96"/>
      <c r="B235" s="96"/>
      <c r="C235" s="96"/>
      <c r="D235" s="96"/>
      <c r="E235" s="96"/>
      <c r="F235" s="96"/>
      <c r="G235" s="96"/>
      <c r="H235" s="96"/>
      <c r="I235" s="96"/>
      <c r="J235" s="96"/>
      <c r="K235" s="96"/>
      <c r="L235" s="96"/>
      <c r="M235" s="96"/>
      <c r="N235" s="96"/>
      <c r="O235" s="96"/>
      <c r="P235" s="96"/>
      <c r="Q235" s="96"/>
      <c r="R235" s="96"/>
      <c r="S235" s="96"/>
      <c r="T235" s="96"/>
      <c r="U235" s="96"/>
      <c r="V235" s="96"/>
      <c r="W235" s="96"/>
      <c r="X235" s="96"/>
      <c r="Y235" s="96"/>
      <c r="Z235" s="96"/>
      <c r="AA235" s="96"/>
      <c r="AB235" s="96"/>
      <c r="AC235" s="96"/>
      <c r="AD235" s="96"/>
    </row>
    <row r="236" spans="1:30">
      <c r="A236" s="96"/>
      <c r="B236" s="96"/>
      <c r="C236" s="96"/>
      <c r="D236" s="96"/>
      <c r="E236" s="96"/>
      <c r="F236" s="96"/>
      <c r="G236" s="96"/>
      <c r="H236" s="96"/>
      <c r="I236" s="96"/>
      <c r="J236" s="96"/>
      <c r="K236" s="96"/>
      <c r="L236" s="96"/>
      <c r="M236" s="96"/>
      <c r="N236" s="96"/>
      <c r="O236" s="96"/>
      <c r="P236" s="96"/>
      <c r="Q236" s="96"/>
      <c r="R236" s="96"/>
      <c r="S236" s="96"/>
      <c r="T236" s="96"/>
      <c r="U236" s="96"/>
      <c r="V236" s="96"/>
      <c r="W236" s="96"/>
      <c r="X236" s="96"/>
      <c r="Y236" s="96"/>
      <c r="Z236" s="96"/>
      <c r="AA236" s="96"/>
      <c r="AB236" s="96"/>
      <c r="AC236" s="96"/>
      <c r="AD236" s="96"/>
    </row>
    <row r="237" spans="1:30">
      <c r="A237" s="96"/>
      <c r="B237" s="96"/>
      <c r="C237" s="96"/>
      <c r="D237" s="96"/>
      <c r="E237" s="96"/>
      <c r="F237" s="96"/>
      <c r="G237" s="96"/>
      <c r="H237" s="96"/>
      <c r="I237" s="96"/>
      <c r="J237" s="96"/>
      <c r="K237" s="96"/>
      <c r="L237" s="96"/>
      <c r="M237" s="96"/>
      <c r="N237" s="96"/>
      <c r="O237" s="96"/>
      <c r="P237" s="96"/>
      <c r="Q237" s="96"/>
      <c r="R237" s="96"/>
      <c r="S237" s="96"/>
      <c r="T237" s="96"/>
      <c r="U237" s="96"/>
      <c r="V237" s="96"/>
      <c r="W237" s="96"/>
      <c r="X237" s="96"/>
      <c r="Y237" s="96"/>
      <c r="Z237" s="96"/>
      <c r="AA237" s="96"/>
      <c r="AB237" s="96"/>
      <c r="AC237" s="96"/>
      <c r="AD237" s="96"/>
    </row>
    <row r="238" spans="1:30">
      <c r="A238" s="96"/>
      <c r="B238" s="96"/>
      <c r="C238" s="96"/>
      <c r="D238" s="96"/>
      <c r="E238" s="96"/>
      <c r="F238" s="96"/>
      <c r="G238" s="96"/>
      <c r="H238" s="96"/>
      <c r="I238" s="96"/>
      <c r="J238" s="96"/>
      <c r="K238" s="96"/>
      <c r="L238" s="96"/>
      <c r="M238" s="96"/>
      <c r="N238" s="96"/>
      <c r="O238" s="96"/>
      <c r="P238" s="96"/>
      <c r="Q238" s="96"/>
      <c r="R238" s="96"/>
      <c r="S238" s="96"/>
      <c r="T238" s="96"/>
      <c r="U238" s="96"/>
      <c r="V238" s="96"/>
      <c r="W238" s="96"/>
      <c r="X238" s="96"/>
      <c r="Y238" s="96"/>
      <c r="Z238" s="96"/>
      <c r="AA238" s="96"/>
      <c r="AB238" s="96"/>
      <c r="AC238" s="96"/>
      <c r="AD238" s="96"/>
    </row>
    <row r="239" spans="1:30">
      <c r="A239" s="96"/>
      <c r="B239" s="96"/>
      <c r="C239" s="96"/>
      <c r="D239" s="96"/>
      <c r="E239" s="96"/>
      <c r="F239" s="96"/>
      <c r="G239" s="96"/>
      <c r="H239" s="96"/>
      <c r="I239" s="96"/>
      <c r="J239" s="96"/>
      <c r="K239" s="96"/>
      <c r="L239" s="96"/>
      <c r="M239" s="96"/>
      <c r="N239" s="96"/>
      <c r="O239" s="96"/>
      <c r="P239" s="96"/>
      <c r="Q239" s="96"/>
      <c r="R239" s="96"/>
      <c r="S239" s="96"/>
      <c r="T239" s="96"/>
      <c r="U239" s="96"/>
      <c r="V239" s="96"/>
      <c r="W239" s="96"/>
      <c r="X239" s="96"/>
      <c r="Y239" s="96"/>
      <c r="Z239" s="96"/>
      <c r="AA239" s="96"/>
      <c r="AB239" s="96"/>
      <c r="AC239" s="96"/>
      <c r="AD239" s="96"/>
    </row>
    <row r="240" spans="1:30">
      <c r="A240" s="96"/>
      <c r="B240" s="96"/>
      <c r="C240" s="96"/>
      <c r="D240" s="96"/>
      <c r="E240" s="96"/>
      <c r="F240" s="96"/>
      <c r="G240" s="96"/>
      <c r="H240" s="96"/>
      <c r="I240" s="96"/>
      <c r="J240" s="96"/>
      <c r="K240" s="96"/>
      <c r="L240" s="96"/>
      <c r="M240" s="96"/>
      <c r="N240" s="96"/>
      <c r="O240" s="96"/>
      <c r="P240" s="96"/>
      <c r="Q240" s="96"/>
      <c r="R240" s="96"/>
      <c r="S240" s="96"/>
      <c r="T240" s="96"/>
      <c r="U240" s="96"/>
      <c r="V240" s="96"/>
      <c r="W240" s="96"/>
      <c r="X240" s="96"/>
      <c r="Y240" s="96"/>
      <c r="Z240" s="96"/>
      <c r="AA240" s="96"/>
      <c r="AB240" s="96"/>
      <c r="AC240" s="96"/>
      <c r="AD240" s="96"/>
    </row>
    <row r="241" spans="1:32">
      <c r="A241" s="96"/>
      <c r="B241" s="96"/>
      <c r="C241" s="96"/>
      <c r="D241" s="96"/>
      <c r="E241" s="96"/>
      <c r="F241" s="96"/>
      <c r="G241" s="96"/>
      <c r="H241" s="96"/>
      <c r="I241" s="96"/>
      <c r="J241" s="96"/>
      <c r="K241" s="96"/>
      <c r="L241" s="96"/>
      <c r="M241" s="96"/>
      <c r="N241" s="96"/>
      <c r="O241" s="96"/>
      <c r="P241" s="96"/>
      <c r="Q241" s="96"/>
      <c r="R241" s="96"/>
      <c r="S241" s="96"/>
      <c r="T241" s="96"/>
      <c r="U241" s="96"/>
      <c r="V241" s="96"/>
      <c r="W241" s="96"/>
      <c r="X241" s="96"/>
      <c r="Y241" s="96"/>
      <c r="Z241" s="96"/>
      <c r="AA241" s="96"/>
      <c r="AB241" s="96"/>
      <c r="AC241" s="96"/>
      <c r="AD241" s="96"/>
    </row>
    <row r="242" spans="1:32" ht="22.5" customHeight="1">
      <c r="A242" s="95" t="s">
        <v>212</v>
      </c>
      <c r="B242" s="96"/>
      <c r="C242" s="96"/>
      <c r="D242" s="96"/>
      <c r="E242" s="96"/>
      <c r="F242" s="96" t="s">
        <v>223</v>
      </c>
      <c r="G242" s="96"/>
      <c r="H242" s="96"/>
      <c r="I242" s="96"/>
      <c r="J242" s="96"/>
      <c r="K242" s="96"/>
      <c r="L242" s="96"/>
      <c r="M242" s="78"/>
      <c r="N242" s="78"/>
      <c r="O242" s="78"/>
      <c r="P242" s="78"/>
      <c r="Q242" s="78"/>
      <c r="R242" s="78"/>
      <c r="S242" s="78"/>
      <c r="T242" s="78"/>
      <c r="U242" s="78"/>
      <c r="V242" s="78"/>
      <c r="W242" s="78"/>
      <c r="X242" s="78"/>
      <c r="Y242" s="78"/>
      <c r="Z242" s="78"/>
      <c r="AA242" s="354"/>
      <c r="AB242" s="178"/>
      <c r="AC242" s="178"/>
      <c r="AD242" s="178"/>
      <c r="AE242" s="178"/>
      <c r="AF242" s="178"/>
    </row>
    <row r="243" spans="1:32">
      <c r="A243" s="103"/>
      <c r="B243" s="100"/>
      <c r="C243" s="100"/>
      <c r="D243" s="100"/>
      <c r="E243" s="107" t="s">
        <v>280</v>
      </c>
      <c r="F243" s="108"/>
      <c r="G243" s="108"/>
      <c r="H243" s="99"/>
      <c r="I243" s="96"/>
      <c r="J243" s="109" t="s">
        <v>281</v>
      </c>
      <c r="K243" s="108"/>
      <c r="L243" s="99"/>
      <c r="M243" s="78"/>
      <c r="N243" s="78"/>
      <c r="O243" s="78"/>
      <c r="P243" s="78"/>
      <c r="Q243" s="78"/>
      <c r="S243" s="78"/>
      <c r="T243" s="78"/>
      <c r="U243" s="78"/>
      <c r="V243" s="78"/>
      <c r="W243" s="78"/>
      <c r="X243" s="78"/>
      <c r="Y243" s="78"/>
      <c r="Z243" s="78"/>
      <c r="AA243" s="354"/>
      <c r="AB243" s="383"/>
      <c r="AC243" s="357"/>
      <c r="AD243" s="356" t="s">
        <v>553</v>
      </c>
      <c r="AE243" s="357"/>
      <c r="AF243" s="358"/>
    </row>
    <row r="244" spans="1:32">
      <c r="A244" s="106"/>
      <c r="B244" s="110"/>
      <c r="C244" s="106"/>
      <c r="D244" s="106"/>
      <c r="E244" s="106"/>
      <c r="F244" s="111" t="s">
        <v>22</v>
      </c>
      <c r="G244" s="111" t="s">
        <v>22</v>
      </c>
      <c r="H244" s="102"/>
      <c r="I244" s="96"/>
      <c r="J244" s="110"/>
      <c r="K244" s="104"/>
      <c r="L244" s="102"/>
      <c r="M244" s="78"/>
      <c r="N244" s="78"/>
      <c r="O244" s="78"/>
      <c r="P244" s="78"/>
      <c r="Q244" s="78"/>
      <c r="S244" s="78"/>
      <c r="T244" s="78"/>
      <c r="U244" s="78"/>
      <c r="V244" s="78"/>
      <c r="W244" s="78"/>
      <c r="X244" s="78"/>
      <c r="Y244" s="78"/>
      <c r="Z244" s="78"/>
      <c r="AA244" s="354"/>
      <c r="AB244" s="384" t="s">
        <v>582</v>
      </c>
      <c r="AC244" s="378" t="s">
        <v>583</v>
      </c>
      <c r="AD244" s="378" t="s">
        <v>552</v>
      </c>
      <c r="AE244" s="379" t="s">
        <v>548</v>
      </c>
      <c r="AF244" s="378" t="s">
        <v>550</v>
      </c>
    </row>
    <row r="245" spans="1:32">
      <c r="A245" s="101" t="s">
        <v>187</v>
      </c>
      <c r="B245" s="112" t="s">
        <v>392</v>
      </c>
      <c r="C245" s="101" t="s">
        <v>393</v>
      </c>
      <c r="D245" s="231" t="s">
        <v>394</v>
      </c>
      <c r="E245" s="231" t="s">
        <v>395</v>
      </c>
      <c r="F245" s="111" t="s">
        <v>279</v>
      </c>
      <c r="G245" s="111" t="s">
        <v>278</v>
      </c>
      <c r="H245" s="113" t="s">
        <v>216</v>
      </c>
      <c r="I245" s="95" t="s">
        <v>221</v>
      </c>
      <c r="J245" s="112" t="s">
        <v>213</v>
      </c>
      <c r="K245" s="111" t="s">
        <v>214</v>
      </c>
      <c r="L245" s="113" t="s">
        <v>215</v>
      </c>
      <c r="M245" s="78"/>
      <c r="S245" s="78"/>
      <c r="T245" s="78"/>
      <c r="U245" s="78"/>
      <c r="V245" s="78"/>
      <c r="W245" s="78"/>
      <c r="X245" s="78"/>
      <c r="Y245" s="78"/>
      <c r="Z245" s="78"/>
      <c r="AA245" s="354"/>
      <c r="AB245" s="385" t="s">
        <v>547</v>
      </c>
      <c r="AC245" s="380" t="s">
        <v>584</v>
      </c>
      <c r="AD245" s="381" t="s">
        <v>585</v>
      </c>
      <c r="AE245" s="382" t="s">
        <v>549</v>
      </c>
      <c r="AF245" s="380" t="s">
        <v>551</v>
      </c>
    </row>
    <row r="246" spans="1:32">
      <c r="A246" s="100"/>
      <c r="B246" s="232"/>
      <c r="C246" s="228"/>
      <c r="D246" s="228" t="s">
        <v>2</v>
      </c>
      <c r="E246" s="228" t="s">
        <v>2</v>
      </c>
      <c r="F246" s="233"/>
      <c r="G246" s="233"/>
      <c r="H246" s="227"/>
      <c r="I246" s="233"/>
      <c r="J246" s="232"/>
      <c r="K246" s="233"/>
      <c r="L246" s="227"/>
      <c r="M246" s="78"/>
      <c r="S246" s="78"/>
      <c r="T246" s="78"/>
      <c r="U246" s="78"/>
      <c r="V246" s="78"/>
      <c r="W246" s="78"/>
      <c r="X246" s="78"/>
      <c r="Y246" s="78"/>
      <c r="Z246" s="78"/>
      <c r="AA246" s="354"/>
      <c r="AB246" s="386"/>
      <c r="AC246" s="361"/>
      <c r="AD246" s="178"/>
      <c r="AE246" s="361"/>
      <c r="AF246" s="361"/>
    </row>
    <row r="247" spans="1:32">
      <c r="A247" s="112">
        <v>0</v>
      </c>
      <c r="B247" s="234">
        <f t="shared" ref="B247:B258" si="45">+J18</f>
        <v>424.58</v>
      </c>
      <c r="C247" s="235">
        <f t="shared" ref="C247:C258" si="46">+J42</f>
        <v>39</v>
      </c>
      <c r="D247" s="235">
        <f t="shared" ref="D247:D258" si="47">+K18</f>
        <v>130.94999999999999</v>
      </c>
      <c r="E247" s="235">
        <f t="shared" ref="E247:E258" si="48">+K42</f>
        <v>0</v>
      </c>
      <c r="F247" s="236">
        <f t="shared" ref="F247:F258" si="49">+J69</f>
        <v>-211.06979999999984</v>
      </c>
      <c r="G247" s="236">
        <f t="shared" ref="G247:G258" si="50">+J96</f>
        <v>0</v>
      </c>
      <c r="H247" s="237">
        <f t="shared" ref="H247:H258" si="51">+C122</f>
        <v>-83.067533403749934</v>
      </c>
      <c r="I247" s="223">
        <f>0.35*$D$113*$D$114*(AA12-$J$266)*'Enf. convectivo nocturno'!G8</f>
        <v>-6604.3816681499975</v>
      </c>
      <c r="J247" s="234">
        <f t="shared" ref="J247:J258" si="52">+D149</f>
        <v>733.32</v>
      </c>
      <c r="K247" s="230">
        <f t="shared" ref="K247:K258" si="53">+F174</f>
        <v>72</v>
      </c>
      <c r="L247" s="226">
        <f t="shared" ref="L247:L258" si="54">+J204</f>
        <v>180</v>
      </c>
      <c r="M247" s="78"/>
      <c r="S247" s="78"/>
      <c r="T247" s="78"/>
      <c r="U247" s="78"/>
      <c r="V247" s="78"/>
      <c r="W247" s="78"/>
      <c r="X247" s="78"/>
      <c r="Y247" s="78"/>
      <c r="Z247" s="78"/>
      <c r="AA247" s="354"/>
      <c r="AB247" s="387">
        <f>SUM(B247:H247)</f>
        <v>300.39266659625014</v>
      </c>
      <c r="AC247" s="359">
        <f>+SUM(J247:L247)</f>
        <v>985.32</v>
      </c>
      <c r="AD247" s="362">
        <f>+AC247+AB247</f>
        <v>1285.7126665962501</v>
      </c>
      <c r="AE247" s="359">
        <f t="shared" ref="AE247:AE258" si="55">+I247</f>
        <v>-6604.3816681499975</v>
      </c>
      <c r="AF247" s="359">
        <f t="shared" ref="AF247:AF258" si="56">SUM(B247:L247)</f>
        <v>-5318.6690015537479</v>
      </c>
    </row>
    <row r="248" spans="1:32">
      <c r="A248" s="112">
        <v>2</v>
      </c>
      <c r="B248" s="234">
        <f t="shared" si="45"/>
        <v>332.61799999999999</v>
      </c>
      <c r="C248" s="235">
        <f t="shared" si="46"/>
        <v>29.25</v>
      </c>
      <c r="D248" s="235">
        <f t="shared" si="47"/>
        <v>130.94999999999999</v>
      </c>
      <c r="E248" s="235">
        <f t="shared" si="48"/>
        <v>0</v>
      </c>
      <c r="F248" s="236">
        <f t="shared" si="49"/>
        <v>-319.21049999999963</v>
      </c>
      <c r="G248" s="236">
        <f t="shared" si="50"/>
        <v>0</v>
      </c>
      <c r="H248" s="237">
        <f t="shared" si="51"/>
        <v>-125.62682520937484</v>
      </c>
      <c r="I248" s="223">
        <f>0.35*$D$113*$D$114*(AA13-$J$266)*'Enf. convectivo nocturno'!G9</f>
        <v>-8306.7533403749931</v>
      </c>
      <c r="J248" s="234">
        <f t="shared" si="52"/>
        <v>733.32</v>
      </c>
      <c r="K248" s="230">
        <f t="shared" si="53"/>
        <v>72</v>
      </c>
      <c r="L248" s="226">
        <f t="shared" si="54"/>
        <v>180</v>
      </c>
      <c r="M248" s="78"/>
      <c r="S248" s="78"/>
      <c r="T248" s="78"/>
      <c r="U248" s="78"/>
      <c r="V248" s="78"/>
      <c r="W248" s="78"/>
      <c r="X248" s="78"/>
      <c r="Y248" s="78"/>
      <c r="Z248" s="78"/>
      <c r="AA248" s="354"/>
      <c r="AB248" s="387">
        <f t="shared" ref="AB248:AB257" si="57">SUM(B248:H248)</f>
        <v>47.980674790625514</v>
      </c>
      <c r="AC248" s="359">
        <f t="shared" ref="AC248:AC257" si="58">+SUM(J248:L248)</f>
        <v>985.32</v>
      </c>
      <c r="AD248" s="362">
        <f t="shared" ref="AD248:AD257" si="59">+AC248+AB248</f>
        <v>1033.3006747906256</v>
      </c>
      <c r="AE248" s="359">
        <f t="shared" si="55"/>
        <v>-8306.7533403749931</v>
      </c>
      <c r="AF248" s="359">
        <f t="shared" si="56"/>
        <v>-7273.4526655843674</v>
      </c>
    </row>
    <row r="249" spans="1:32">
      <c r="A249" s="112">
        <v>4</v>
      </c>
      <c r="B249" s="234">
        <f t="shared" si="45"/>
        <v>246.72050000000002</v>
      </c>
      <c r="C249" s="235">
        <f t="shared" si="46"/>
        <v>29.25</v>
      </c>
      <c r="D249" s="235">
        <f t="shared" si="47"/>
        <v>130.94999999999999</v>
      </c>
      <c r="E249" s="235">
        <f t="shared" si="48"/>
        <v>0</v>
      </c>
      <c r="F249" s="236">
        <f t="shared" si="49"/>
        <v>-427.35119999999972</v>
      </c>
      <c r="G249" s="236">
        <f t="shared" si="50"/>
        <v>0</v>
      </c>
      <c r="H249" s="237">
        <f t="shared" si="51"/>
        <v>-168.18611701499989</v>
      </c>
      <c r="I249" s="223">
        <f>0.35*$D$113*$D$114*(AA14-$J$266)*'Enf. convectivo nocturno'!G10</f>
        <v>-10009.125012599996</v>
      </c>
      <c r="J249" s="234">
        <f t="shared" si="52"/>
        <v>733.32</v>
      </c>
      <c r="K249" s="230">
        <f t="shared" si="53"/>
        <v>72</v>
      </c>
      <c r="L249" s="226">
        <f t="shared" si="54"/>
        <v>180</v>
      </c>
      <c r="M249" s="78"/>
      <c r="S249" s="78"/>
      <c r="T249" s="78"/>
      <c r="U249" s="78"/>
      <c r="V249" s="78"/>
      <c r="W249" s="78"/>
      <c r="X249" s="78"/>
      <c r="Y249" s="78"/>
      <c r="Z249" s="78"/>
      <c r="AA249" s="354"/>
      <c r="AB249" s="387">
        <f t="shared" si="57"/>
        <v>-188.61681701499961</v>
      </c>
      <c r="AC249" s="359">
        <f t="shared" si="58"/>
        <v>985.32</v>
      </c>
      <c r="AD249" s="362">
        <f t="shared" si="59"/>
        <v>796.70318298500047</v>
      </c>
      <c r="AE249" s="359">
        <f t="shared" si="55"/>
        <v>-10009.125012599996</v>
      </c>
      <c r="AF249" s="359">
        <f t="shared" si="56"/>
        <v>-9212.4218296149957</v>
      </c>
    </row>
    <row r="250" spans="1:32">
      <c r="A250" s="112">
        <v>6</v>
      </c>
      <c r="B250" s="234">
        <f t="shared" si="45"/>
        <v>210.78199999999998</v>
      </c>
      <c r="C250" s="235">
        <f t="shared" si="46"/>
        <v>48.75</v>
      </c>
      <c r="D250" s="235">
        <f t="shared" si="47"/>
        <v>436.49999999999994</v>
      </c>
      <c r="E250" s="235">
        <f t="shared" si="48"/>
        <v>0</v>
      </c>
      <c r="F250" s="236">
        <f t="shared" si="49"/>
        <v>-500.31359999999961</v>
      </c>
      <c r="G250" s="236">
        <f t="shared" si="50"/>
        <v>864.6023232</v>
      </c>
      <c r="H250" s="237">
        <f t="shared" si="51"/>
        <v>-196.90081991999986</v>
      </c>
      <c r="I250" s="223">
        <f>0.35*$D$113*$D$114*(AA15-$J$266)*'Enf. convectivo nocturno'!G11</f>
        <v>-11157.713128799995</v>
      </c>
      <c r="J250" s="234">
        <f t="shared" si="52"/>
        <v>733.32</v>
      </c>
      <c r="K250" s="230">
        <f t="shared" si="53"/>
        <v>72</v>
      </c>
      <c r="L250" s="226">
        <f t="shared" si="54"/>
        <v>480</v>
      </c>
      <c r="M250" s="78"/>
      <c r="S250" s="78"/>
      <c r="T250" s="78"/>
      <c r="U250" s="78"/>
      <c r="V250" s="78"/>
      <c r="W250" s="78"/>
      <c r="X250" s="78"/>
      <c r="Y250" s="78"/>
      <c r="Z250" s="78"/>
      <c r="AA250" s="354"/>
      <c r="AB250" s="387">
        <f t="shared" si="57"/>
        <v>863.41990328000054</v>
      </c>
      <c r="AC250" s="359">
        <f t="shared" si="58"/>
        <v>1285.3200000000002</v>
      </c>
      <c r="AD250" s="362">
        <f t="shared" si="59"/>
        <v>2148.7399032800008</v>
      </c>
      <c r="AE250" s="359">
        <f t="shared" si="55"/>
        <v>-11157.713128799995</v>
      </c>
      <c r="AF250" s="359">
        <f t="shared" si="56"/>
        <v>-9008.9732255199942</v>
      </c>
    </row>
    <row r="251" spans="1:32">
      <c r="A251" s="112">
        <v>8</v>
      </c>
      <c r="B251" s="234">
        <f t="shared" si="45"/>
        <v>199.4915</v>
      </c>
      <c r="C251" s="235">
        <f t="shared" si="46"/>
        <v>58.5</v>
      </c>
      <c r="D251" s="235">
        <f t="shared" si="47"/>
        <v>436.49999999999994</v>
      </c>
      <c r="E251" s="235">
        <f t="shared" si="48"/>
        <v>0</v>
      </c>
      <c r="F251" s="236">
        <f t="shared" si="49"/>
        <v>-355.69169999999974</v>
      </c>
      <c r="G251" s="236">
        <f t="shared" si="50"/>
        <v>1847.9674751999999</v>
      </c>
      <c r="H251" s="237">
        <f t="shared" si="51"/>
        <v>-139.9841766618749</v>
      </c>
      <c r="I251" s="223">
        <f>0.35*$D$113*$D$114*(AA16-$J$266)*'Enf. convectivo nocturno'!G12</f>
        <v>-8881.0473984749951</v>
      </c>
      <c r="J251" s="234">
        <f t="shared" si="52"/>
        <v>1047.6000000000001</v>
      </c>
      <c r="K251" s="230">
        <f t="shared" si="53"/>
        <v>216</v>
      </c>
      <c r="L251" s="226">
        <f t="shared" si="54"/>
        <v>555</v>
      </c>
      <c r="M251" s="78"/>
      <c r="S251" s="78"/>
      <c r="T251" s="78"/>
      <c r="U251" s="78"/>
      <c r="V251" s="78"/>
      <c r="W251" s="78"/>
      <c r="X251" s="78"/>
      <c r="Y251" s="78"/>
      <c r="Z251" s="78"/>
      <c r="AA251" s="354"/>
      <c r="AB251" s="387">
        <f t="shared" si="57"/>
        <v>2046.7830985381249</v>
      </c>
      <c r="AC251" s="359">
        <f t="shared" si="58"/>
        <v>1818.6000000000001</v>
      </c>
      <c r="AD251" s="362">
        <f t="shared" si="59"/>
        <v>3865.3830985381251</v>
      </c>
      <c r="AE251" s="359">
        <f t="shared" si="55"/>
        <v>-8881.0473984749951</v>
      </c>
      <c r="AF251" s="359">
        <f t="shared" si="56"/>
        <v>-5015.6642999368696</v>
      </c>
    </row>
    <row r="252" spans="1:32">
      <c r="A252" s="112">
        <v>10</v>
      </c>
      <c r="B252" s="234">
        <f t="shared" si="45"/>
        <v>261.5795</v>
      </c>
      <c r="C252" s="235">
        <f t="shared" si="46"/>
        <v>97.5</v>
      </c>
      <c r="D252" s="235">
        <f t="shared" si="47"/>
        <v>436.49999999999994</v>
      </c>
      <c r="E252" s="235">
        <f t="shared" si="48"/>
        <v>0</v>
      </c>
      <c r="F252" s="236">
        <f t="shared" si="49"/>
        <v>259.27710000000042</v>
      </c>
      <c r="G252" s="236">
        <f t="shared" si="50"/>
        <v>2024.6048592</v>
      </c>
      <c r="H252" s="237">
        <f t="shared" si="51"/>
        <v>102.03974782312517</v>
      </c>
      <c r="I252" s="223">
        <f>0.35*$D$113*$D$114*(AA17-$J$266)*'Enf. convectivo nocturno'!G13</f>
        <v>0</v>
      </c>
      <c r="J252" s="234">
        <f t="shared" si="52"/>
        <v>628.56000000000006</v>
      </c>
      <c r="K252" s="230">
        <f t="shared" si="53"/>
        <v>144</v>
      </c>
      <c r="L252" s="226">
        <f t="shared" si="54"/>
        <v>180</v>
      </c>
      <c r="M252" s="78"/>
      <c r="S252" s="78"/>
      <c r="T252" s="78"/>
      <c r="U252" s="78"/>
      <c r="V252" s="78"/>
      <c r="W252" s="78"/>
      <c r="X252" s="78"/>
      <c r="Y252" s="78"/>
      <c r="Z252" s="78"/>
      <c r="AA252" s="354"/>
      <c r="AB252" s="387">
        <f t="shared" si="57"/>
        <v>3181.5012070231255</v>
      </c>
      <c r="AC252" s="359">
        <f t="shared" si="58"/>
        <v>952.56000000000006</v>
      </c>
      <c r="AD252" s="362">
        <f t="shared" si="59"/>
        <v>4134.0612070231255</v>
      </c>
      <c r="AE252" s="359">
        <f t="shared" si="55"/>
        <v>0</v>
      </c>
      <c r="AF252" s="359">
        <f t="shared" si="56"/>
        <v>4134.0612070231255</v>
      </c>
    </row>
    <row r="253" spans="1:32">
      <c r="A253" s="112">
        <v>12</v>
      </c>
      <c r="B253" s="234">
        <f t="shared" si="45"/>
        <v>297.9665</v>
      </c>
      <c r="C253" s="235">
        <f t="shared" si="46"/>
        <v>156</v>
      </c>
      <c r="D253" s="235">
        <f t="shared" si="47"/>
        <v>480.14999999999992</v>
      </c>
      <c r="E253" s="235">
        <f t="shared" si="48"/>
        <v>0</v>
      </c>
      <c r="F253" s="236">
        <f t="shared" si="49"/>
        <v>621.48330000000021</v>
      </c>
      <c r="G253" s="236">
        <f t="shared" si="50"/>
        <v>1557.5901263999999</v>
      </c>
      <c r="H253" s="237">
        <f t="shared" si="51"/>
        <v>244.58773724437506</v>
      </c>
      <c r="I253" s="223">
        <f>0.35*$D$113*$D$114*(AA18-$J$266)*'Enf. convectivo nocturno'!G14</f>
        <v>0</v>
      </c>
      <c r="J253" s="234">
        <f t="shared" si="52"/>
        <v>1319.9760000000001</v>
      </c>
      <c r="K253" s="230">
        <f t="shared" si="53"/>
        <v>0</v>
      </c>
      <c r="L253" s="226">
        <f t="shared" si="54"/>
        <v>1680</v>
      </c>
      <c r="M253" s="78"/>
      <c r="S253" s="78"/>
      <c r="T253" s="78"/>
      <c r="U253" s="78"/>
      <c r="V253" s="78"/>
      <c r="W253" s="78"/>
      <c r="X253" s="78"/>
      <c r="Y253" s="78"/>
      <c r="Z253" s="78"/>
      <c r="AA253" s="354"/>
      <c r="AB253" s="387">
        <f t="shared" si="57"/>
        <v>3357.777663644375</v>
      </c>
      <c r="AC253" s="359">
        <f t="shared" si="58"/>
        <v>2999.9760000000001</v>
      </c>
      <c r="AD253" s="362">
        <f t="shared" si="59"/>
        <v>6357.7536636443747</v>
      </c>
      <c r="AE253" s="359">
        <f t="shared" si="55"/>
        <v>0</v>
      </c>
      <c r="AF253" s="359">
        <f t="shared" si="56"/>
        <v>6357.7536636443747</v>
      </c>
    </row>
    <row r="254" spans="1:32">
      <c r="A254" s="112">
        <v>14</v>
      </c>
      <c r="B254" s="234">
        <f t="shared" si="45"/>
        <v>394.08849999999995</v>
      </c>
      <c r="C254" s="235">
        <f t="shared" si="46"/>
        <v>156</v>
      </c>
      <c r="D254" s="235">
        <f t="shared" si="47"/>
        <v>742.05</v>
      </c>
      <c r="E254" s="235">
        <f t="shared" si="48"/>
        <v>0</v>
      </c>
      <c r="F254" s="236">
        <f t="shared" si="49"/>
        <v>802.58640000000014</v>
      </c>
      <c r="G254" s="236">
        <f t="shared" si="50"/>
        <v>1241.0380751999999</v>
      </c>
      <c r="H254" s="237">
        <f t="shared" si="51"/>
        <v>315.8617319550001</v>
      </c>
      <c r="I254" s="223">
        <f>0.35*$D$113*$D$114*(AA19-$J$266)*'Enf. convectivo nocturno'!G15</f>
        <v>0</v>
      </c>
      <c r="J254" s="234">
        <f t="shared" si="52"/>
        <v>628.56000000000006</v>
      </c>
      <c r="K254" s="230">
        <f t="shared" si="53"/>
        <v>0</v>
      </c>
      <c r="L254" s="226">
        <f t="shared" si="54"/>
        <v>480</v>
      </c>
      <c r="M254" s="78"/>
      <c r="S254" s="78"/>
      <c r="T254" s="78"/>
      <c r="U254" s="78"/>
      <c r="V254" s="78"/>
      <c r="W254" s="78"/>
      <c r="X254" s="78"/>
      <c r="Y254" s="78"/>
      <c r="Z254" s="78"/>
      <c r="AA254" s="354"/>
      <c r="AB254" s="387">
        <f t="shared" si="57"/>
        <v>3651.6247071550006</v>
      </c>
      <c r="AC254" s="359">
        <f t="shared" si="58"/>
        <v>1108.56</v>
      </c>
      <c r="AD254" s="362">
        <f t="shared" si="59"/>
        <v>4760.1847071550001</v>
      </c>
      <c r="AE254" s="359">
        <f t="shared" si="55"/>
        <v>0</v>
      </c>
      <c r="AF254" s="359">
        <f t="shared" si="56"/>
        <v>4760.184707155001</v>
      </c>
    </row>
    <row r="255" spans="1:32">
      <c r="A255" s="112">
        <v>16</v>
      </c>
      <c r="B255" s="234">
        <f t="shared" si="45"/>
        <v>456.50149999999996</v>
      </c>
      <c r="C255" s="235">
        <f t="shared" si="46"/>
        <v>117</v>
      </c>
      <c r="D255" s="235">
        <f t="shared" si="47"/>
        <v>872.99999999999989</v>
      </c>
      <c r="E255" s="235">
        <f t="shared" si="48"/>
        <v>0</v>
      </c>
      <c r="F255" s="236">
        <f t="shared" si="49"/>
        <v>694.4457000000001</v>
      </c>
      <c r="G255" s="236">
        <f t="shared" si="50"/>
        <v>471.70273920000005</v>
      </c>
      <c r="H255" s="237">
        <f t="shared" si="51"/>
        <v>273.30244014937506</v>
      </c>
      <c r="I255" s="223">
        <f>0.35*$D$113*$D$114*(AA20-$J$266)*'Enf. convectivo nocturno'!G16</f>
        <v>0</v>
      </c>
      <c r="J255" s="234">
        <f t="shared" si="52"/>
        <v>628.56000000000006</v>
      </c>
      <c r="K255" s="230">
        <f t="shared" si="53"/>
        <v>0</v>
      </c>
      <c r="L255" s="226">
        <f t="shared" si="54"/>
        <v>880</v>
      </c>
      <c r="M255" s="78"/>
      <c r="S255" s="78"/>
      <c r="T255" s="78"/>
      <c r="U255" s="78"/>
      <c r="V255" s="78"/>
      <c r="W255" s="78"/>
      <c r="X255" s="78"/>
      <c r="Y255" s="78"/>
      <c r="Z255" s="78"/>
      <c r="AA255" s="354"/>
      <c r="AB255" s="387">
        <f t="shared" si="57"/>
        <v>2885.952379349375</v>
      </c>
      <c r="AC255" s="359">
        <f t="shared" si="58"/>
        <v>1508.56</v>
      </c>
      <c r="AD255" s="362">
        <f t="shared" si="59"/>
        <v>4394.5123793493749</v>
      </c>
      <c r="AE255" s="359">
        <f t="shared" si="55"/>
        <v>0</v>
      </c>
      <c r="AF255" s="359">
        <f t="shared" si="56"/>
        <v>4394.5123793493749</v>
      </c>
    </row>
    <row r="256" spans="1:32">
      <c r="A256" s="112">
        <v>18</v>
      </c>
      <c r="B256" s="234">
        <f t="shared" si="45"/>
        <v>538.94749999999999</v>
      </c>
      <c r="C256" s="235">
        <f t="shared" si="46"/>
        <v>97.5</v>
      </c>
      <c r="D256" s="235">
        <f t="shared" si="47"/>
        <v>1003.9499999999998</v>
      </c>
      <c r="E256" s="235">
        <f t="shared" si="48"/>
        <v>0</v>
      </c>
      <c r="F256" s="236">
        <f t="shared" si="49"/>
        <v>403.89899999999994</v>
      </c>
      <c r="G256" s="236">
        <f t="shared" si="50"/>
        <v>60.944083200000009</v>
      </c>
      <c r="H256" s="237">
        <f t="shared" si="51"/>
        <v>158.95639108124999</v>
      </c>
      <c r="I256" s="223">
        <f>0.35*$D$113*$D$114*(AA21-$J$266)*'Enf. convectivo nocturno'!G17</f>
        <v>0</v>
      </c>
      <c r="J256" s="234">
        <f t="shared" si="52"/>
        <v>628.56000000000006</v>
      </c>
      <c r="K256" s="230">
        <f t="shared" si="53"/>
        <v>144</v>
      </c>
      <c r="L256" s="226">
        <f t="shared" si="54"/>
        <v>1255</v>
      </c>
      <c r="M256" s="78"/>
      <c r="S256" s="78"/>
      <c r="T256" s="78"/>
      <c r="U256" s="78"/>
      <c r="V256" s="78"/>
      <c r="W256" s="78"/>
      <c r="X256" s="78"/>
      <c r="Y256" s="78"/>
      <c r="Z256" s="78"/>
      <c r="AA256" s="354"/>
      <c r="AB256" s="387">
        <f t="shared" si="57"/>
        <v>2264.1969742812494</v>
      </c>
      <c r="AC256" s="359">
        <f t="shared" si="58"/>
        <v>2027.56</v>
      </c>
      <c r="AD256" s="362">
        <f t="shared" si="59"/>
        <v>4291.7569742812493</v>
      </c>
      <c r="AE256" s="359">
        <f t="shared" si="55"/>
        <v>0</v>
      </c>
      <c r="AF256" s="359">
        <f t="shared" si="56"/>
        <v>4291.7569742812493</v>
      </c>
    </row>
    <row r="257" spans="1:32">
      <c r="A257" s="112">
        <v>20</v>
      </c>
      <c r="B257" s="234">
        <f t="shared" si="45"/>
        <v>630.3895</v>
      </c>
      <c r="C257" s="235">
        <f t="shared" si="46"/>
        <v>97.5</v>
      </c>
      <c r="D257" s="235">
        <f t="shared" si="47"/>
        <v>960.29999999999984</v>
      </c>
      <c r="E257" s="235">
        <f t="shared" si="48"/>
        <v>0</v>
      </c>
      <c r="F257" s="236">
        <f t="shared" si="49"/>
        <v>78.174000000000362</v>
      </c>
      <c r="G257" s="236">
        <f t="shared" si="50"/>
        <v>0</v>
      </c>
      <c r="H257" s="237">
        <f t="shared" si="51"/>
        <v>30.765753112500143</v>
      </c>
      <c r="I257" s="223">
        <f>0.35*$D$113*$D$114*(AA22-$J$266)*'Enf. convectivo nocturno'!G18</f>
        <v>0</v>
      </c>
      <c r="J257" s="234">
        <f t="shared" si="52"/>
        <v>1047.6000000000001</v>
      </c>
      <c r="K257" s="230">
        <f t="shared" si="53"/>
        <v>288</v>
      </c>
      <c r="L257" s="226">
        <f t="shared" si="54"/>
        <v>880</v>
      </c>
      <c r="M257" s="78"/>
      <c r="S257" s="78"/>
      <c r="T257" s="78"/>
      <c r="U257" s="78"/>
      <c r="V257" s="78"/>
      <c r="W257" s="78"/>
      <c r="X257" s="78"/>
      <c r="Y257" s="78"/>
      <c r="Z257" s="78"/>
      <c r="AA257" s="354"/>
      <c r="AB257" s="387">
        <f t="shared" si="57"/>
        <v>1797.1292531125005</v>
      </c>
      <c r="AC257" s="359">
        <f t="shared" si="58"/>
        <v>2215.6000000000004</v>
      </c>
      <c r="AD257" s="362">
        <f t="shared" si="59"/>
        <v>4012.7292531125008</v>
      </c>
      <c r="AE257" s="359">
        <f t="shared" si="55"/>
        <v>0</v>
      </c>
      <c r="AF257" s="359">
        <f t="shared" si="56"/>
        <v>4012.7292531125004</v>
      </c>
    </row>
    <row r="258" spans="1:32">
      <c r="A258" s="105">
        <v>22</v>
      </c>
      <c r="B258" s="238">
        <f t="shared" si="45"/>
        <v>566.80650000000003</v>
      </c>
      <c r="C258" s="239">
        <f t="shared" si="46"/>
        <v>87.75</v>
      </c>
      <c r="D258" s="239">
        <f t="shared" si="47"/>
        <v>916.64999999999986</v>
      </c>
      <c r="E258" s="239">
        <f t="shared" si="48"/>
        <v>0</v>
      </c>
      <c r="F258" s="240">
        <f t="shared" si="49"/>
        <v>-97.717499999999617</v>
      </c>
      <c r="G258" s="240">
        <f t="shared" si="50"/>
        <v>0</v>
      </c>
      <c r="H258" s="241">
        <f t="shared" si="51"/>
        <v>-38.45719139062485</v>
      </c>
      <c r="I258" s="223">
        <f>0.35*$D$113*$D$114*(AA23-$J$266)*'Enf. convectivo nocturno'!G19</f>
        <v>-4819.9679876249938</v>
      </c>
      <c r="J258" s="238">
        <f t="shared" si="52"/>
        <v>838.08000000000015</v>
      </c>
      <c r="K258" s="230">
        <f t="shared" si="53"/>
        <v>1080</v>
      </c>
      <c r="L258" s="229">
        <f t="shared" si="54"/>
        <v>3880</v>
      </c>
      <c r="M258" s="78"/>
      <c r="S258" s="78"/>
      <c r="T258" s="78"/>
      <c r="U258" s="78"/>
      <c r="V258" s="78"/>
      <c r="W258" s="78"/>
      <c r="X258" s="78"/>
      <c r="Y258" s="78"/>
      <c r="Z258" s="78"/>
      <c r="AA258" s="354"/>
      <c r="AB258" s="388">
        <f>SUM(B258:H258)</f>
        <v>1435.0318086093755</v>
      </c>
      <c r="AC258" s="355">
        <f>+SUM(J258:L258)</f>
        <v>5798.08</v>
      </c>
      <c r="AD258" s="362">
        <f>+AC258+AB258</f>
        <v>7233.1118086093757</v>
      </c>
      <c r="AE258" s="355">
        <f t="shared" si="55"/>
        <v>-4819.9679876249938</v>
      </c>
      <c r="AF258" s="355">
        <f t="shared" si="56"/>
        <v>2413.1438209843818</v>
      </c>
    </row>
    <row r="259" spans="1:32">
      <c r="A259" s="100"/>
      <c r="B259" s="233"/>
      <c r="C259" s="233"/>
      <c r="D259" s="233"/>
      <c r="E259" s="233"/>
      <c r="F259" s="233"/>
      <c r="G259" s="233"/>
      <c r="H259" s="233"/>
      <c r="I259" s="233"/>
      <c r="J259" s="233"/>
      <c r="K259" s="233"/>
      <c r="L259" s="227"/>
      <c r="M259" s="78"/>
      <c r="S259" s="78"/>
      <c r="T259" s="78"/>
      <c r="U259" s="78"/>
      <c r="V259" s="78"/>
      <c r="W259" s="78"/>
      <c r="X259" s="78"/>
      <c r="Y259" s="78"/>
      <c r="Z259" s="78"/>
      <c r="AA259" s="354"/>
      <c r="AB259" s="389"/>
      <c r="AC259" s="359"/>
      <c r="AD259" s="361"/>
      <c r="AE259" s="360"/>
      <c r="AF259" s="359"/>
    </row>
    <row r="260" spans="1:32">
      <c r="A260" s="112" t="s">
        <v>527</v>
      </c>
      <c r="B260" s="236">
        <f t="shared" ref="B260:L260" si="60">SUM(B247:B258)</f>
        <v>4560.4714999999997</v>
      </c>
      <c r="C260" s="236">
        <f t="shared" si="60"/>
        <v>1014</v>
      </c>
      <c r="D260" s="236">
        <f t="shared" si="60"/>
        <v>6678.45</v>
      </c>
      <c r="E260" s="236">
        <f t="shared" si="60"/>
        <v>0</v>
      </c>
      <c r="F260" s="236">
        <f t="shared" si="60"/>
        <v>948.51120000000321</v>
      </c>
      <c r="G260" s="236">
        <f t="shared" si="60"/>
        <v>8068.4496815999992</v>
      </c>
      <c r="H260" s="236">
        <f t="shared" si="60"/>
        <v>373.29113776500105</v>
      </c>
      <c r="I260" s="236">
        <f t="shared" si="60"/>
        <v>-49778.988536024968</v>
      </c>
      <c r="J260" s="236">
        <f t="shared" si="60"/>
        <v>9700.7760000000017</v>
      </c>
      <c r="K260" s="236">
        <f t="shared" si="60"/>
        <v>2160</v>
      </c>
      <c r="L260" s="237">
        <f t="shared" si="60"/>
        <v>10810</v>
      </c>
      <c r="M260" s="78"/>
      <c r="S260" s="78"/>
      <c r="T260" s="78"/>
      <c r="U260" s="78"/>
      <c r="V260" s="78"/>
      <c r="W260" s="78"/>
      <c r="X260" s="78"/>
      <c r="Y260" s="78"/>
      <c r="Z260" s="78"/>
      <c r="AA260" s="354"/>
      <c r="AB260" s="390">
        <f>SUM(AB247:AB258)</f>
        <v>21643.173519365002</v>
      </c>
      <c r="AC260" s="355">
        <f>SUM(AC247:AC258)</f>
        <v>22670.775999999998</v>
      </c>
      <c r="AD260" s="355">
        <f>SUM(AD247:AD258)</f>
        <v>44313.949519365</v>
      </c>
      <c r="AE260" s="355">
        <f>SUM(AE247:AE258)</f>
        <v>-49778.988536024968</v>
      </c>
      <c r="AF260" s="355">
        <f>SUM(AF247:AF258)</f>
        <v>-5465.0390166599682</v>
      </c>
    </row>
    <row r="261" spans="1:32">
      <c r="A261" s="105" t="s">
        <v>77</v>
      </c>
      <c r="B261" s="242">
        <f t="shared" ref="B261:H261" si="61">+B260/$AD$260</f>
        <v>0.10291277463334866</v>
      </c>
      <c r="C261" s="242">
        <f t="shared" si="61"/>
        <v>2.2882185203485114E-2</v>
      </c>
      <c r="D261" s="242">
        <f t="shared" si="61"/>
        <v>0.15070762304952184</v>
      </c>
      <c r="E261" s="242">
        <f t="shared" si="61"/>
        <v>0</v>
      </c>
      <c r="F261" s="242">
        <f t="shared" si="61"/>
        <v>2.1404348072958563E-2</v>
      </c>
      <c r="G261" s="242">
        <f t="shared" si="61"/>
        <v>0.18207471392442964</v>
      </c>
      <c r="H261" s="242">
        <f t="shared" si="61"/>
        <v>8.4237839735290237E-3</v>
      </c>
      <c r="I261" s="242"/>
      <c r="J261" s="242">
        <f>+J260/$AD$260</f>
        <v>0.21891021010801137</v>
      </c>
      <c r="K261" s="242">
        <f>+K260/$AD$260</f>
        <v>4.8743116409790774E-2</v>
      </c>
      <c r="L261" s="242">
        <f>+L260/$AD$260</f>
        <v>0.24394124462492511</v>
      </c>
      <c r="M261" s="78"/>
      <c r="N261" s="220"/>
      <c r="O261" s="220"/>
      <c r="P261" s="220"/>
      <c r="Q261" s="220"/>
      <c r="S261" s="78"/>
      <c r="T261" s="78"/>
      <c r="U261" s="78"/>
      <c r="V261" s="78"/>
      <c r="W261" s="78"/>
      <c r="X261" s="78"/>
      <c r="Y261" s="78"/>
      <c r="Z261" s="78"/>
      <c r="AA261" s="354"/>
      <c r="AB261" s="391"/>
      <c r="AC261" s="178"/>
      <c r="AD261" s="178"/>
      <c r="AE261" s="178"/>
      <c r="AF261" s="178"/>
    </row>
    <row r="262" spans="1:32">
      <c r="A262" s="88" t="s">
        <v>224</v>
      </c>
      <c r="B262" s="78"/>
      <c r="C262" s="78"/>
      <c r="D262" s="78"/>
      <c r="E262" s="78"/>
      <c r="F262" s="78"/>
      <c r="G262" s="78"/>
      <c r="H262" s="78"/>
      <c r="I262" s="78"/>
      <c r="J262" s="78"/>
      <c r="K262" s="78"/>
      <c r="L262" s="78"/>
      <c r="M262" s="78"/>
      <c r="N262" s="78"/>
      <c r="O262" s="78"/>
      <c r="P262" s="78"/>
      <c r="Q262" s="78"/>
      <c r="R262" s="78"/>
      <c r="S262" s="78"/>
      <c r="T262" s="78"/>
      <c r="U262" s="78"/>
      <c r="V262" s="78"/>
      <c r="W262" s="78"/>
      <c r="X262" s="78"/>
      <c r="Y262" s="78"/>
      <c r="Z262" s="78"/>
      <c r="AA262" s="78"/>
    </row>
    <row r="263" spans="1:32" ht="13.5" thickBot="1">
      <c r="A263" s="88"/>
      <c r="B263" s="78"/>
      <c r="C263" s="78"/>
      <c r="D263" s="78"/>
      <c r="E263" s="78"/>
      <c r="F263" s="78"/>
      <c r="G263" s="78"/>
      <c r="H263" s="78"/>
      <c r="I263" s="78"/>
      <c r="J263" s="78"/>
      <c r="K263" s="78"/>
      <c r="L263" s="78"/>
      <c r="M263" s="78"/>
      <c r="N263" s="78"/>
      <c r="O263" s="78"/>
      <c r="P263" s="78"/>
      <c r="Q263" s="78"/>
      <c r="R263" s="78"/>
      <c r="S263" s="78"/>
      <c r="T263" s="78"/>
      <c r="U263" s="78"/>
      <c r="V263" s="78"/>
      <c r="W263" s="78"/>
      <c r="X263" s="78"/>
      <c r="Y263" s="78"/>
      <c r="Z263" s="78"/>
      <c r="AA263" s="78"/>
    </row>
    <row r="264" spans="1:32">
      <c r="A264" s="270" t="s">
        <v>225</v>
      </c>
      <c r="B264" s="263"/>
      <c r="C264" s="263"/>
      <c r="D264" s="271">
        <f>MAX(AF247:AF258)</f>
        <v>6357.7536636443747</v>
      </c>
      <c r="E264" s="264" t="s">
        <v>396</v>
      </c>
      <c r="F264" s="262"/>
      <c r="G264" s="263"/>
      <c r="H264" s="264"/>
      <c r="I264" s="655" t="s">
        <v>730</v>
      </c>
      <c r="J264" s="656"/>
      <c r="K264" s="657"/>
      <c r="L264" s="78"/>
      <c r="M264" s="78"/>
      <c r="N264" s="78"/>
      <c r="O264" s="78"/>
      <c r="P264" s="78"/>
      <c r="Q264" s="78"/>
      <c r="R264" s="78"/>
      <c r="S264" s="78"/>
      <c r="T264" s="78"/>
      <c r="U264" s="78"/>
      <c r="V264" s="78"/>
      <c r="W264" s="78"/>
      <c r="X264" s="78"/>
      <c r="Y264" s="78"/>
      <c r="Z264" s="78"/>
      <c r="AA264" s="78"/>
    </row>
    <row r="265" spans="1:32">
      <c r="A265" s="69" t="s">
        <v>282</v>
      </c>
      <c r="B265" s="104"/>
      <c r="C265" s="104"/>
      <c r="D265" s="272">
        <f>+D264*3600/4186</f>
        <v>5467.7289032775316</v>
      </c>
      <c r="E265" s="266" t="s">
        <v>226</v>
      </c>
      <c r="F265" s="265" t="s">
        <v>424</v>
      </c>
      <c r="G265" s="104"/>
      <c r="H265" s="266"/>
      <c r="I265" s="658"/>
      <c r="J265" s="659"/>
      <c r="K265" s="660"/>
      <c r="L265" s="78"/>
      <c r="M265" s="78"/>
      <c r="N265" s="78"/>
      <c r="O265" s="78"/>
      <c r="P265" s="78"/>
      <c r="Q265" s="78"/>
      <c r="R265" s="78"/>
      <c r="S265" s="78"/>
      <c r="T265" s="78"/>
      <c r="U265" s="78"/>
      <c r="V265" s="78"/>
      <c r="W265" s="78"/>
      <c r="X265" s="78"/>
      <c r="Y265" s="78"/>
      <c r="Z265" s="78"/>
      <c r="AA265" s="78"/>
    </row>
    <row r="266" spans="1:32" ht="13.5" thickBot="1">
      <c r="A266" s="273" t="s">
        <v>283</v>
      </c>
      <c r="B266" s="274"/>
      <c r="C266" s="274"/>
      <c r="D266" s="275">
        <f>+D265/3000</f>
        <v>1.8225763010925105</v>
      </c>
      <c r="E266" s="269" t="s">
        <v>227</v>
      </c>
      <c r="F266" s="267" t="s">
        <v>425</v>
      </c>
      <c r="G266" s="285">
        <v>24</v>
      </c>
      <c r="H266" s="269" t="s">
        <v>98</v>
      </c>
      <c r="I266" s="267"/>
      <c r="J266" s="285">
        <v>26</v>
      </c>
      <c r="K266" s="269" t="s">
        <v>98</v>
      </c>
      <c r="L266" s="78"/>
      <c r="M266" s="78"/>
      <c r="N266" s="78"/>
      <c r="O266" s="78"/>
      <c r="P266" s="78"/>
      <c r="Q266" s="78"/>
      <c r="R266" s="78"/>
      <c r="S266" s="78"/>
      <c r="T266" s="78"/>
      <c r="U266" s="78"/>
      <c r="V266" s="78"/>
      <c r="W266" s="78"/>
      <c r="X266" s="78"/>
      <c r="Y266" s="78"/>
      <c r="Z266" s="78"/>
      <c r="AA266" s="78"/>
    </row>
    <row r="267" spans="1:32">
      <c r="A267" s="88"/>
      <c r="B267" s="78"/>
      <c r="C267" s="78"/>
      <c r="D267" s="78"/>
      <c r="E267" s="78"/>
      <c r="G267" s="78"/>
      <c r="H267" s="78"/>
      <c r="I267" s="78"/>
      <c r="J267" s="78"/>
      <c r="K267" s="78"/>
      <c r="L267" s="78"/>
      <c r="M267" s="78"/>
      <c r="N267" s="78"/>
      <c r="O267" s="78"/>
      <c r="P267" s="78"/>
      <c r="Q267" s="78"/>
      <c r="R267" s="78"/>
      <c r="S267" s="78"/>
      <c r="T267" s="78"/>
      <c r="U267" s="78"/>
      <c r="V267" s="78"/>
      <c r="W267" s="78"/>
      <c r="X267" s="78"/>
      <c r="Y267" s="78"/>
      <c r="Z267" s="78"/>
      <c r="AA267" s="78"/>
    </row>
    <row r="268" spans="1:32">
      <c r="A268" s="88"/>
      <c r="B268" s="78"/>
      <c r="C268" s="78"/>
      <c r="D268" s="78"/>
      <c r="E268" s="78"/>
      <c r="F268" s="78"/>
      <c r="G268" s="78"/>
      <c r="H268" s="78"/>
      <c r="I268" s="78"/>
      <c r="J268" s="78"/>
      <c r="K268" s="78"/>
      <c r="L268" s="78"/>
      <c r="M268" s="78"/>
      <c r="N268" s="78"/>
      <c r="O268" s="78"/>
      <c r="P268" s="78"/>
      <c r="Q268" s="78"/>
      <c r="R268" s="78"/>
      <c r="S268" s="78"/>
      <c r="T268" s="78"/>
      <c r="U268" s="78"/>
      <c r="V268" s="78"/>
      <c r="W268" s="78"/>
      <c r="X268" s="78"/>
      <c r="Y268" s="78"/>
      <c r="Z268" s="78"/>
      <c r="AA268" s="78"/>
    </row>
    <row r="269" spans="1:32">
      <c r="A269" s="88"/>
      <c r="B269" s="78"/>
      <c r="C269" s="78" t="s">
        <v>2</v>
      </c>
      <c r="D269" s="88" t="s">
        <v>2</v>
      </c>
      <c r="E269" s="88" t="s">
        <v>2</v>
      </c>
      <c r="F269" s="78"/>
      <c r="G269" s="78"/>
      <c r="H269" s="78"/>
      <c r="I269" s="78"/>
      <c r="J269" s="78"/>
      <c r="K269" s="78"/>
      <c r="L269" s="78"/>
      <c r="M269" s="78"/>
      <c r="N269" s="78"/>
      <c r="O269" s="78"/>
      <c r="P269" s="78"/>
      <c r="Q269" s="78"/>
      <c r="R269" s="78"/>
      <c r="S269" s="78"/>
      <c r="T269" s="78"/>
      <c r="U269" s="78"/>
      <c r="V269" s="78"/>
      <c r="W269" s="78"/>
      <c r="X269" s="78"/>
      <c r="Y269" s="78"/>
      <c r="Z269" s="78"/>
      <c r="AA269" s="78"/>
    </row>
    <row r="270" spans="1:32">
      <c r="A270" s="88"/>
      <c r="B270" s="221" t="s">
        <v>140</v>
      </c>
      <c r="C270" s="89" t="s">
        <v>6</v>
      </c>
      <c r="D270" s="88" t="s">
        <v>581</v>
      </c>
      <c r="E270" s="88" t="s">
        <v>580</v>
      </c>
      <c r="F270" s="221" t="s">
        <v>216</v>
      </c>
      <c r="G270" s="221" t="s">
        <v>213</v>
      </c>
      <c r="H270" s="221" t="s">
        <v>214</v>
      </c>
      <c r="I270" s="221" t="s">
        <v>215</v>
      </c>
      <c r="K270" s="78"/>
      <c r="L270" s="78"/>
      <c r="M270" s="78"/>
      <c r="N270" s="78"/>
      <c r="O270" s="78"/>
      <c r="P270" s="78"/>
      <c r="Q270" s="78"/>
      <c r="R270" s="78"/>
      <c r="S270" s="78"/>
      <c r="T270" s="78"/>
      <c r="U270" s="78"/>
      <c r="V270" s="78"/>
      <c r="W270" s="78"/>
      <c r="X270" s="78"/>
      <c r="Y270" s="78"/>
      <c r="Z270" s="78"/>
      <c r="AA270" s="78"/>
    </row>
    <row r="271" spans="1:32">
      <c r="A271" s="78"/>
      <c r="B271" s="78"/>
      <c r="C271" s="78"/>
      <c r="D271" s="78"/>
      <c r="E271" s="78"/>
      <c r="F271" s="78"/>
      <c r="G271" s="78"/>
      <c r="H271" s="78"/>
      <c r="I271" s="78"/>
      <c r="K271" s="78"/>
      <c r="L271" s="78"/>
      <c r="M271" s="78"/>
      <c r="N271" s="78"/>
      <c r="O271" s="78"/>
      <c r="P271" s="78"/>
      <c r="Q271" s="78"/>
      <c r="R271" s="78"/>
      <c r="S271" s="78"/>
      <c r="T271" s="78"/>
      <c r="U271" s="78"/>
      <c r="V271" s="78"/>
      <c r="W271" s="78"/>
      <c r="X271" s="78"/>
      <c r="Y271" s="78"/>
      <c r="Z271" s="78"/>
      <c r="AA271" s="78"/>
    </row>
    <row r="272" spans="1:32">
      <c r="A272" s="78"/>
      <c r="B272" s="224">
        <f>+B260+C260</f>
        <v>5574.4714999999997</v>
      </c>
      <c r="C272" s="224">
        <f>+D260+E260</f>
        <v>6678.45</v>
      </c>
      <c r="D272" s="224">
        <f t="shared" ref="D272:F273" si="62">+F260</f>
        <v>948.51120000000321</v>
      </c>
      <c r="E272" s="224">
        <f t="shared" si="62"/>
        <v>8068.4496815999992</v>
      </c>
      <c r="F272" s="224">
        <f t="shared" si="62"/>
        <v>373.29113776500105</v>
      </c>
      <c r="G272" s="224">
        <f t="shared" ref="G272:I273" si="63">+J260</f>
        <v>9700.7760000000017</v>
      </c>
      <c r="H272" s="224">
        <f t="shared" si="63"/>
        <v>2160</v>
      </c>
      <c r="I272" s="224">
        <f t="shared" si="63"/>
        <v>10810</v>
      </c>
      <c r="K272" s="78"/>
      <c r="L272" s="78"/>
      <c r="M272" s="78"/>
      <c r="N272" s="78"/>
      <c r="O272" s="78"/>
      <c r="P272" s="78"/>
      <c r="Q272" s="78"/>
      <c r="R272" s="78"/>
      <c r="S272" s="78"/>
      <c r="T272" s="78"/>
      <c r="U272" s="78"/>
      <c r="V272" s="78"/>
      <c r="W272" s="78"/>
      <c r="X272" s="78"/>
      <c r="Y272" s="78"/>
      <c r="Z272" s="78"/>
      <c r="AA272" s="78"/>
    </row>
    <row r="273" spans="1:27">
      <c r="A273" s="78"/>
      <c r="B273" s="364">
        <f>+B261+C261</f>
        <v>0.12579495983683378</v>
      </c>
      <c r="C273" s="364">
        <f>+D261+E261</f>
        <v>0.15070762304952184</v>
      </c>
      <c r="D273" s="364">
        <f t="shared" si="62"/>
        <v>2.1404348072958563E-2</v>
      </c>
      <c r="E273" s="364">
        <f t="shared" si="62"/>
        <v>0.18207471392442964</v>
      </c>
      <c r="F273" s="364">
        <f t="shared" si="62"/>
        <v>8.4237839735290237E-3</v>
      </c>
      <c r="G273" s="364">
        <f t="shared" si="63"/>
        <v>0.21891021010801137</v>
      </c>
      <c r="H273" s="364">
        <f t="shared" si="63"/>
        <v>4.8743116409790774E-2</v>
      </c>
      <c r="I273" s="364">
        <f t="shared" si="63"/>
        <v>0.24394124462492511</v>
      </c>
      <c r="J273" s="365">
        <f>SUM(B273:I273)</f>
        <v>1</v>
      </c>
      <c r="K273" s="78"/>
      <c r="L273" s="78"/>
      <c r="M273" s="78"/>
      <c r="N273" s="78"/>
      <c r="O273" s="78"/>
      <c r="P273" s="78"/>
      <c r="Q273" s="78"/>
      <c r="R273" s="78"/>
      <c r="S273" s="78"/>
      <c r="T273" s="78"/>
      <c r="U273" s="78"/>
      <c r="V273" s="78"/>
      <c r="W273" s="78"/>
      <c r="X273" s="78"/>
      <c r="Y273" s="78"/>
      <c r="Z273" s="78"/>
      <c r="AA273" s="78"/>
    </row>
    <row r="274" spans="1:27">
      <c r="A274" s="78"/>
      <c r="B274" s="78"/>
      <c r="C274" s="78"/>
      <c r="D274" s="78"/>
      <c r="E274" s="78"/>
      <c r="F274" s="78"/>
      <c r="G274" s="78"/>
      <c r="H274" s="78"/>
      <c r="I274" s="78"/>
      <c r="J274" s="78"/>
      <c r="K274" s="78"/>
      <c r="L274" s="78"/>
      <c r="M274" s="78"/>
      <c r="N274" s="78"/>
      <c r="O274" s="78"/>
      <c r="P274" s="78"/>
      <c r="Q274" s="78"/>
      <c r="R274" s="78"/>
      <c r="S274" s="78"/>
      <c r="T274" s="78"/>
      <c r="U274" s="78"/>
      <c r="V274" s="78"/>
      <c r="W274" s="78"/>
      <c r="X274" s="78"/>
      <c r="Y274" s="78"/>
      <c r="Z274" s="78"/>
      <c r="AA274" s="78"/>
    </row>
    <row r="275" spans="1:27">
      <c r="A275" s="78"/>
      <c r="B275" s="78"/>
      <c r="C275" s="78"/>
      <c r="D275" s="78"/>
      <c r="E275" s="78"/>
      <c r="F275" s="78"/>
      <c r="G275" s="78"/>
      <c r="H275" s="78"/>
      <c r="I275" s="78"/>
      <c r="J275" s="78"/>
      <c r="K275" s="78"/>
      <c r="L275" s="78"/>
      <c r="M275" s="78"/>
      <c r="N275" s="78"/>
      <c r="O275" s="78"/>
      <c r="P275" s="78"/>
      <c r="Q275" s="78"/>
      <c r="R275" s="78"/>
      <c r="S275" s="78"/>
      <c r="T275" s="78"/>
      <c r="U275" s="78"/>
      <c r="V275" s="78"/>
      <c r="W275" s="78"/>
      <c r="X275" s="78"/>
      <c r="Y275" s="78"/>
      <c r="Z275" s="78"/>
      <c r="AA275" s="78"/>
    </row>
    <row r="276" spans="1:27">
      <c r="A276" s="78"/>
      <c r="B276" s="78"/>
      <c r="C276" s="78"/>
      <c r="D276" s="78"/>
      <c r="E276" s="78"/>
      <c r="F276" s="78"/>
      <c r="G276" s="78"/>
      <c r="H276" s="78"/>
      <c r="I276" s="78"/>
      <c r="J276" s="78"/>
      <c r="K276" s="78"/>
      <c r="L276" s="78"/>
      <c r="M276" s="78"/>
      <c r="N276" s="78"/>
      <c r="O276" s="78"/>
      <c r="P276" s="78"/>
      <c r="Q276" s="78"/>
      <c r="R276" s="78"/>
      <c r="S276" s="78"/>
      <c r="T276" s="78"/>
      <c r="U276" s="78"/>
      <c r="V276" s="78"/>
      <c r="W276" s="78"/>
      <c r="X276" s="78"/>
      <c r="Y276" s="78"/>
      <c r="Z276" s="78"/>
      <c r="AA276" s="78"/>
    </row>
    <row r="277" spans="1:27">
      <c r="A277" s="78"/>
      <c r="B277" s="78"/>
      <c r="C277" s="78"/>
      <c r="D277" s="78"/>
      <c r="E277" s="78"/>
      <c r="F277" s="78"/>
      <c r="G277" s="78"/>
      <c r="H277" s="78"/>
      <c r="I277" s="78"/>
      <c r="J277" s="78"/>
      <c r="K277" s="78"/>
      <c r="L277" s="78"/>
      <c r="M277" s="78"/>
      <c r="N277" s="78"/>
      <c r="O277" s="78"/>
      <c r="P277" s="78"/>
      <c r="Q277" s="78"/>
      <c r="R277" s="78"/>
      <c r="S277" s="78"/>
      <c r="T277" s="78"/>
      <c r="U277" s="78"/>
      <c r="V277" s="78"/>
      <c r="W277" s="78"/>
      <c r="X277" s="78"/>
      <c r="Y277" s="78"/>
      <c r="Z277" s="78"/>
      <c r="AA277" s="78"/>
    </row>
    <row r="278" spans="1:27">
      <c r="A278" s="78"/>
      <c r="B278" s="78"/>
      <c r="C278" s="78"/>
      <c r="D278" s="78"/>
      <c r="E278" s="78"/>
      <c r="F278" s="78"/>
      <c r="G278" s="78"/>
      <c r="H278" s="78"/>
      <c r="I278" s="78"/>
      <c r="J278" s="78"/>
      <c r="K278" s="78"/>
      <c r="L278" s="78"/>
      <c r="M278" s="78"/>
      <c r="N278" s="78"/>
      <c r="O278" s="78"/>
      <c r="P278" s="78"/>
      <c r="Q278" s="78"/>
      <c r="R278" s="78"/>
      <c r="S278" s="78"/>
      <c r="T278" s="78"/>
      <c r="U278" s="78"/>
      <c r="V278" s="78"/>
      <c r="W278" s="78"/>
      <c r="X278" s="78"/>
      <c r="Y278" s="78"/>
      <c r="Z278" s="78"/>
      <c r="AA278" s="78"/>
    </row>
    <row r="279" spans="1:27">
      <c r="A279" s="78"/>
      <c r="B279" s="78"/>
      <c r="C279" s="78"/>
      <c r="D279" s="78"/>
      <c r="E279" s="78"/>
      <c r="F279" s="78"/>
      <c r="G279" s="78"/>
      <c r="H279" s="78"/>
      <c r="I279" s="78"/>
      <c r="J279" s="78"/>
      <c r="K279" s="78"/>
      <c r="L279" s="78"/>
      <c r="M279" s="78"/>
      <c r="N279" s="78"/>
      <c r="O279" s="78"/>
      <c r="P279" s="78"/>
      <c r="Q279" s="78"/>
      <c r="R279" s="78"/>
      <c r="S279" s="78"/>
      <c r="T279" s="78"/>
      <c r="U279" s="78"/>
      <c r="V279" s="78"/>
      <c r="W279" s="78"/>
      <c r="X279" s="78"/>
      <c r="Y279" s="78"/>
      <c r="Z279" s="78"/>
      <c r="AA279" s="78"/>
    </row>
    <row r="280" spans="1:27">
      <c r="A280" s="78"/>
      <c r="B280" s="78"/>
      <c r="C280" s="78"/>
      <c r="D280" s="78"/>
      <c r="E280" s="78"/>
      <c r="F280" s="78"/>
      <c r="G280" s="78"/>
      <c r="H280" s="78"/>
      <c r="I280" s="78"/>
      <c r="J280" s="78"/>
      <c r="K280" s="78"/>
      <c r="L280" s="78"/>
      <c r="M280" s="78"/>
      <c r="N280" s="78"/>
      <c r="O280" s="78"/>
      <c r="P280" s="78"/>
      <c r="Q280" s="78"/>
      <c r="R280" s="78"/>
      <c r="S280" s="78"/>
      <c r="T280" s="78"/>
      <c r="U280" s="78"/>
      <c r="V280" s="78"/>
      <c r="W280" s="78"/>
      <c r="X280" s="78"/>
      <c r="Y280" s="78"/>
      <c r="Z280" s="78"/>
      <c r="AA280" s="78"/>
    </row>
    <row r="281" spans="1:27">
      <c r="A281" s="78"/>
      <c r="B281" s="78"/>
      <c r="C281" s="78"/>
      <c r="D281" s="78"/>
      <c r="E281" s="78"/>
      <c r="F281" s="78"/>
      <c r="G281" s="91"/>
      <c r="H281" s="78"/>
      <c r="I281" s="78"/>
      <c r="J281" s="78"/>
      <c r="K281" s="78"/>
      <c r="L281" s="78"/>
      <c r="M281" s="78"/>
      <c r="N281" s="78"/>
      <c r="O281" s="78"/>
      <c r="P281" s="78"/>
      <c r="Q281" s="78"/>
      <c r="R281" s="78"/>
      <c r="S281" s="78"/>
      <c r="T281" s="78"/>
      <c r="U281" s="78"/>
      <c r="V281" s="78"/>
      <c r="W281" s="78"/>
      <c r="X281" s="78"/>
      <c r="Y281" s="78"/>
      <c r="Z281" s="78"/>
      <c r="AA281" s="78"/>
    </row>
    <row r="282" spans="1:27">
      <c r="A282" s="78"/>
      <c r="B282" s="78"/>
      <c r="C282" s="78"/>
      <c r="D282" s="78"/>
      <c r="E282" s="78"/>
      <c r="F282" s="78"/>
      <c r="G282" s="78"/>
      <c r="H282" s="78"/>
      <c r="I282" s="78"/>
      <c r="J282" s="78"/>
      <c r="K282" s="78"/>
      <c r="L282" s="78"/>
      <c r="M282" s="78"/>
      <c r="N282" s="78"/>
      <c r="O282" s="78"/>
      <c r="P282" s="78"/>
      <c r="Q282" s="78"/>
      <c r="R282" s="78"/>
      <c r="S282" s="78"/>
      <c r="T282" s="78"/>
      <c r="U282" s="78"/>
      <c r="V282" s="78"/>
      <c r="W282" s="78"/>
      <c r="X282" s="78"/>
      <c r="Y282" s="78"/>
      <c r="Z282" s="78"/>
      <c r="AA282" s="78"/>
    </row>
    <row r="283" spans="1:27">
      <c r="A283" s="78"/>
      <c r="B283" s="78"/>
      <c r="C283" s="78"/>
      <c r="D283" s="78"/>
      <c r="E283" s="78"/>
      <c r="F283" s="78"/>
      <c r="G283" s="78"/>
      <c r="H283" s="78"/>
      <c r="I283" s="78"/>
      <c r="J283" s="78"/>
      <c r="K283" s="78"/>
      <c r="L283" s="78"/>
      <c r="M283" s="78"/>
      <c r="N283" s="78"/>
      <c r="O283" s="78"/>
      <c r="P283" s="78"/>
      <c r="Q283" s="78"/>
      <c r="R283" s="78"/>
      <c r="S283" s="78"/>
      <c r="T283" s="78"/>
      <c r="U283" s="78"/>
      <c r="V283" s="78"/>
      <c r="W283" s="78"/>
      <c r="X283" s="78"/>
      <c r="Y283" s="78"/>
      <c r="Z283" s="78"/>
      <c r="AA283" s="78"/>
    </row>
    <row r="284" spans="1:27">
      <c r="A284" s="78"/>
      <c r="B284" s="78"/>
      <c r="C284" s="78"/>
      <c r="D284" s="78"/>
      <c r="E284" s="78"/>
      <c r="F284" s="78"/>
      <c r="G284" s="78"/>
      <c r="H284" s="78"/>
      <c r="I284" s="78"/>
      <c r="J284" s="78"/>
      <c r="K284" s="78"/>
      <c r="L284" s="78"/>
      <c r="M284" s="78"/>
      <c r="N284" s="78"/>
      <c r="O284" s="78"/>
      <c r="P284" s="78"/>
      <c r="Q284" s="78"/>
      <c r="R284" s="78"/>
      <c r="S284" s="78"/>
      <c r="T284" s="78"/>
      <c r="U284" s="78"/>
      <c r="V284" s="78"/>
      <c r="W284" s="78"/>
      <c r="X284" s="78"/>
      <c r="Y284" s="78"/>
      <c r="Z284" s="78"/>
      <c r="AA284" s="78"/>
    </row>
    <row r="285" spans="1:27">
      <c r="A285" s="78"/>
      <c r="B285" s="78"/>
      <c r="C285" s="78"/>
      <c r="D285" s="78"/>
      <c r="E285" s="78"/>
      <c r="F285" s="78"/>
      <c r="G285" s="78"/>
      <c r="H285" s="78"/>
      <c r="I285" s="78"/>
      <c r="J285" s="78"/>
      <c r="K285" s="78"/>
      <c r="L285" s="78"/>
      <c r="M285" s="78"/>
      <c r="N285" s="78"/>
      <c r="O285" s="78"/>
      <c r="P285" s="78"/>
      <c r="Q285" s="78"/>
      <c r="R285" s="78"/>
      <c r="S285" s="78"/>
      <c r="T285" s="78"/>
      <c r="U285" s="78"/>
      <c r="V285" s="78"/>
      <c r="W285" s="78"/>
      <c r="X285" s="78"/>
      <c r="Y285" s="78"/>
      <c r="Z285" s="78"/>
      <c r="AA285" s="78"/>
    </row>
    <row r="286" spans="1:27">
      <c r="A286" s="78"/>
      <c r="B286" s="78"/>
      <c r="C286" s="78"/>
      <c r="D286" s="78"/>
      <c r="E286" s="78"/>
      <c r="F286" s="78"/>
      <c r="G286" s="78"/>
      <c r="H286" s="78"/>
      <c r="I286" s="78"/>
      <c r="J286" s="78"/>
      <c r="K286" s="78"/>
      <c r="L286" s="78"/>
      <c r="M286" s="78"/>
      <c r="N286" s="78"/>
      <c r="O286" s="78"/>
      <c r="P286" s="78"/>
      <c r="Q286" s="78"/>
      <c r="R286" s="78"/>
      <c r="S286" s="78"/>
      <c r="T286" s="78"/>
      <c r="U286" s="78"/>
      <c r="V286" s="78"/>
      <c r="W286" s="78"/>
      <c r="X286" s="78"/>
      <c r="Y286" s="78"/>
      <c r="Z286" s="78"/>
      <c r="AA286" s="78"/>
    </row>
    <row r="287" spans="1:27">
      <c r="A287" s="78"/>
      <c r="B287" s="78"/>
      <c r="C287" s="78"/>
      <c r="D287" s="78"/>
      <c r="E287" s="78"/>
      <c r="F287" s="78"/>
      <c r="G287" s="78"/>
      <c r="H287" s="78"/>
      <c r="I287" s="78"/>
      <c r="J287" s="78"/>
      <c r="K287" s="78"/>
      <c r="L287" s="78"/>
      <c r="M287" s="78"/>
      <c r="N287" s="78"/>
      <c r="O287" s="78"/>
      <c r="P287" s="78"/>
      <c r="Q287" s="78"/>
      <c r="R287" s="78"/>
      <c r="S287" s="78"/>
      <c r="T287" s="78"/>
      <c r="U287" s="78"/>
      <c r="V287" s="78"/>
      <c r="W287" s="78"/>
      <c r="X287" s="78"/>
      <c r="Y287" s="78"/>
      <c r="Z287" s="78"/>
      <c r="AA287" s="78"/>
    </row>
    <row r="288" spans="1:27">
      <c r="A288" s="78"/>
      <c r="B288" s="78"/>
      <c r="C288" s="78"/>
      <c r="D288" s="78"/>
      <c r="E288" s="78"/>
      <c r="F288" s="78"/>
      <c r="G288" s="78"/>
      <c r="H288" s="78"/>
      <c r="I288" s="78"/>
      <c r="J288" s="78"/>
      <c r="K288" s="78"/>
      <c r="L288" s="78"/>
      <c r="M288" s="78"/>
      <c r="N288" s="78"/>
      <c r="O288" s="78"/>
      <c r="P288" s="78"/>
      <c r="Q288" s="78"/>
      <c r="R288" s="78"/>
      <c r="S288" s="78"/>
      <c r="T288" s="78"/>
      <c r="U288" s="78"/>
      <c r="V288" s="78"/>
      <c r="W288" s="78"/>
      <c r="X288" s="78"/>
      <c r="Y288" s="78"/>
      <c r="Z288" s="78"/>
      <c r="AA288" s="78"/>
    </row>
    <row r="289" spans="1:27">
      <c r="A289" s="78"/>
      <c r="B289" s="78"/>
      <c r="C289" s="78"/>
      <c r="D289" s="78"/>
      <c r="E289" s="78"/>
      <c r="F289" s="78"/>
      <c r="G289" s="78"/>
      <c r="H289" s="78"/>
      <c r="I289" s="78"/>
      <c r="J289" s="78"/>
      <c r="K289" s="78"/>
      <c r="L289" s="78"/>
      <c r="M289" s="78"/>
      <c r="N289" s="78"/>
      <c r="O289" s="78"/>
      <c r="P289" s="78"/>
      <c r="Q289" s="78"/>
      <c r="R289" s="78"/>
      <c r="S289" s="78"/>
      <c r="T289" s="78"/>
      <c r="U289" s="78"/>
      <c r="V289" s="78"/>
      <c r="W289" s="78"/>
      <c r="X289" s="78"/>
      <c r="Y289" s="78"/>
      <c r="Z289" s="78"/>
      <c r="AA289" s="78"/>
    </row>
    <row r="290" spans="1:27">
      <c r="A290" s="78"/>
      <c r="B290" s="78"/>
      <c r="C290" s="78"/>
      <c r="D290" s="78"/>
      <c r="E290" s="78"/>
      <c r="F290" s="78"/>
      <c r="G290" s="78"/>
      <c r="H290" s="78"/>
      <c r="I290" s="78"/>
      <c r="J290" s="78"/>
      <c r="K290" s="78"/>
      <c r="L290" s="78"/>
      <c r="M290" s="78"/>
      <c r="N290" s="78"/>
      <c r="O290" s="78"/>
      <c r="P290" s="78"/>
      <c r="Q290" s="78"/>
      <c r="R290" s="78"/>
      <c r="S290" s="78"/>
      <c r="T290" s="78"/>
      <c r="U290" s="78"/>
      <c r="V290" s="78"/>
      <c r="W290" s="78"/>
      <c r="X290" s="78"/>
      <c r="Y290" s="78"/>
      <c r="Z290" s="78"/>
      <c r="AA290" s="78"/>
    </row>
    <row r="291" spans="1:27">
      <c r="A291" s="88"/>
      <c r="B291" s="78"/>
      <c r="C291" s="78"/>
      <c r="D291" s="78"/>
      <c r="E291" s="78"/>
      <c r="F291" s="78"/>
      <c r="G291" s="78"/>
      <c r="H291" s="78"/>
      <c r="I291" s="78"/>
      <c r="J291" s="78"/>
      <c r="K291" s="78"/>
      <c r="L291" s="78"/>
      <c r="M291" s="78"/>
      <c r="N291" s="78"/>
      <c r="O291" s="78"/>
      <c r="P291" s="78"/>
      <c r="Q291" s="78"/>
      <c r="R291" s="78"/>
      <c r="S291" s="78"/>
      <c r="T291" s="78"/>
      <c r="U291" s="78"/>
      <c r="V291" s="78"/>
      <c r="W291" s="78"/>
      <c r="X291" s="78"/>
      <c r="Y291" s="78"/>
      <c r="Z291" s="78"/>
      <c r="AA291" s="78"/>
    </row>
    <row r="292" spans="1:27">
      <c r="A292" s="78"/>
      <c r="B292" s="78"/>
      <c r="C292" s="78"/>
      <c r="D292" s="78"/>
      <c r="E292" s="78"/>
      <c r="F292" s="78"/>
      <c r="G292" s="78"/>
      <c r="H292" s="78"/>
      <c r="I292" s="78"/>
      <c r="J292" s="78"/>
      <c r="K292" s="78"/>
      <c r="L292" s="78"/>
      <c r="M292" s="78"/>
      <c r="N292" s="78"/>
      <c r="O292" s="78"/>
      <c r="P292" s="78"/>
      <c r="Q292" s="78"/>
      <c r="R292" s="78"/>
      <c r="S292" s="78"/>
      <c r="T292" s="78"/>
      <c r="U292" s="78"/>
      <c r="V292" s="78"/>
      <c r="W292" s="78"/>
      <c r="X292" s="78"/>
      <c r="Y292" s="78"/>
      <c r="Z292" s="78"/>
      <c r="AA292" s="78"/>
    </row>
    <row r="293" spans="1:27">
      <c r="A293" s="88"/>
      <c r="B293" s="78"/>
      <c r="C293" s="78"/>
      <c r="D293" s="78"/>
      <c r="E293" s="78"/>
      <c r="F293" s="78"/>
      <c r="G293" s="78"/>
      <c r="H293" s="78"/>
      <c r="I293" s="78"/>
      <c r="J293" s="78"/>
      <c r="K293" s="78"/>
      <c r="L293" s="78"/>
      <c r="M293" s="78"/>
      <c r="N293" s="78"/>
      <c r="O293" s="78"/>
      <c r="P293" s="78"/>
      <c r="Q293" s="78"/>
      <c r="R293" s="78"/>
      <c r="S293" s="78"/>
      <c r="T293" s="78"/>
      <c r="U293" s="78"/>
      <c r="V293" s="78"/>
      <c r="W293" s="78"/>
      <c r="X293" s="78"/>
      <c r="Y293" s="78"/>
      <c r="Z293" s="78"/>
      <c r="AA293" s="78"/>
    </row>
    <row r="294" spans="1:27">
      <c r="A294" s="88"/>
      <c r="B294" s="78"/>
      <c r="C294" s="78"/>
      <c r="D294" s="78"/>
      <c r="E294" s="78"/>
      <c r="F294" s="78"/>
      <c r="G294" s="78"/>
      <c r="H294" s="78"/>
      <c r="I294" s="78"/>
      <c r="J294" s="78"/>
      <c r="K294" s="78"/>
      <c r="L294" s="78"/>
      <c r="M294" s="78"/>
      <c r="N294" s="78"/>
      <c r="O294" s="78"/>
      <c r="P294" s="78"/>
      <c r="Q294" s="78"/>
      <c r="R294" s="78"/>
      <c r="S294" s="78"/>
      <c r="T294" s="78"/>
      <c r="U294" s="78"/>
      <c r="V294" s="78"/>
      <c r="W294" s="78"/>
      <c r="X294" s="78"/>
      <c r="Y294" s="78"/>
      <c r="Z294" s="78"/>
      <c r="AA294" s="78"/>
    </row>
    <row r="295" spans="1:27">
      <c r="A295" s="88"/>
      <c r="B295" s="78"/>
      <c r="C295" s="78"/>
      <c r="D295" s="78"/>
      <c r="E295" s="78"/>
      <c r="F295" s="78"/>
      <c r="G295" s="78"/>
      <c r="H295" s="78"/>
      <c r="I295" s="78"/>
      <c r="J295" s="78"/>
      <c r="K295" s="78"/>
      <c r="L295" s="78"/>
      <c r="M295" s="78"/>
      <c r="N295" s="78"/>
      <c r="O295" s="78"/>
      <c r="P295" s="78"/>
      <c r="Q295" s="78"/>
      <c r="R295" s="78"/>
      <c r="S295" s="78"/>
      <c r="T295" s="78"/>
      <c r="U295" s="78"/>
      <c r="V295" s="78"/>
      <c r="W295" s="78"/>
      <c r="X295" s="78"/>
      <c r="Y295" s="78"/>
      <c r="Z295" s="78"/>
      <c r="AA295" s="78"/>
    </row>
    <row r="296" spans="1:27">
      <c r="A296" s="88"/>
      <c r="B296" s="78"/>
      <c r="C296" s="78"/>
      <c r="D296" s="78"/>
      <c r="E296" s="78"/>
      <c r="F296" s="78"/>
      <c r="G296" s="78"/>
      <c r="H296" s="78"/>
      <c r="I296" s="78"/>
      <c r="J296" s="78"/>
      <c r="K296" s="78"/>
      <c r="L296" s="78"/>
      <c r="M296" s="78"/>
      <c r="N296" s="78"/>
      <c r="O296" s="78"/>
      <c r="P296" s="78"/>
      <c r="Q296" s="78"/>
      <c r="R296" s="78"/>
      <c r="S296" s="78"/>
      <c r="T296" s="78"/>
      <c r="U296" s="78"/>
      <c r="V296" s="78"/>
      <c r="W296" s="78"/>
      <c r="X296" s="78"/>
      <c r="Y296" s="78"/>
      <c r="Z296" s="78"/>
      <c r="AA296" s="78"/>
    </row>
    <row r="297" spans="1:27">
      <c r="A297" s="88"/>
      <c r="B297" s="78"/>
      <c r="C297" s="78"/>
      <c r="D297" s="78"/>
      <c r="E297" s="78"/>
      <c r="F297" s="78"/>
      <c r="G297" s="78"/>
      <c r="H297" s="78"/>
      <c r="I297" s="78"/>
      <c r="J297" s="78"/>
      <c r="K297" s="78"/>
      <c r="L297" s="78"/>
      <c r="M297" s="78"/>
      <c r="N297" s="78"/>
      <c r="O297" s="78"/>
      <c r="P297" s="78"/>
      <c r="Q297" s="78"/>
      <c r="R297" s="78"/>
      <c r="S297" s="78"/>
      <c r="T297" s="78"/>
      <c r="U297" s="78"/>
      <c r="V297" s="78"/>
      <c r="W297" s="78"/>
      <c r="X297" s="78"/>
      <c r="Y297" s="78"/>
      <c r="Z297" s="78"/>
      <c r="AA297" s="78"/>
    </row>
    <row r="298" spans="1:27">
      <c r="A298" s="88"/>
      <c r="B298" s="78"/>
      <c r="C298" s="78"/>
      <c r="D298" s="78"/>
      <c r="E298" s="78"/>
      <c r="F298" s="78"/>
      <c r="G298" s="78"/>
      <c r="H298" s="78"/>
      <c r="I298" s="78"/>
      <c r="J298" s="78"/>
      <c r="K298" s="78"/>
      <c r="L298" s="78"/>
      <c r="M298" s="78"/>
      <c r="N298" s="78"/>
      <c r="O298" s="78"/>
      <c r="P298" s="78"/>
      <c r="Q298" s="78"/>
      <c r="R298" s="78"/>
      <c r="S298" s="78"/>
      <c r="T298" s="78"/>
      <c r="U298" s="78"/>
      <c r="V298" s="78"/>
      <c r="W298" s="78"/>
      <c r="X298" s="78"/>
      <c r="Y298" s="78"/>
      <c r="Z298" s="78"/>
      <c r="AA298" s="78"/>
    </row>
    <row r="299" spans="1:27">
      <c r="A299" s="88"/>
      <c r="B299" s="78"/>
      <c r="C299" s="78"/>
      <c r="D299" s="78"/>
      <c r="E299" s="78"/>
      <c r="F299" s="78"/>
      <c r="G299" s="78"/>
      <c r="H299" s="78"/>
      <c r="I299" s="78"/>
      <c r="J299" s="78"/>
      <c r="K299" s="78"/>
      <c r="L299" s="78"/>
      <c r="M299" s="78"/>
      <c r="N299" s="78"/>
      <c r="O299" s="78"/>
      <c r="P299" s="78"/>
      <c r="Q299" s="78"/>
      <c r="R299" s="78"/>
      <c r="S299" s="78"/>
      <c r="T299" s="78"/>
      <c r="U299" s="78"/>
      <c r="V299" s="78"/>
      <c r="W299" s="78"/>
      <c r="X299" s="78"/>
      <c r="Y299" s="78"/>
      <c r="Z299" s="78"/>
      <c r="AA299" s="78"/>
    </row>
    <row r="300" spans="1:27">
      <c r="L300" s="78"/>
      <c r="M300" s="78"/>
      <c r="N300" s="78"/>
      <c r="O300" s="78"/>
      <c r="P300" s="78"/>
      <c r="Q300" s="78"/>
      <c r="R300" s="78"/>
      <c r="S300" s="78"/>
      <c r="T300" s="78"/>
      <c r="U300" s="78"/>
      <c r="V300" s="78"/>
      <c r="W300" s="78"/>
      <c r="X300" s="78"/>
      <c r="Y300" s="78"/>
      <c r="Z300" s="78"/>
      <c r="AA300" s="78"/>
    </row>
    <row r="301" spans="1:27">
      <c r="L301" s="78"/>
      <c r="M301" s="78"/>
      <c r="N301" s="78"/>
      <c r="O301" s="78"/>
      <c r="P301" s="78"/>
      <c r="Q301" s="78"/>
      <c r="R301" s="78"/>
      <c r="S301" s="78"/>
      <c r="T301" s="78"/>
      <c r="U301" s="78"/>
      <c r="V301" s="78"/>
      <c r="W301" s="78"/>
      <c r="X301" s="78"/>
      <c r="Y301" s="78"/>
      <c r="Z301" s="78"/>
      <c r="AA301" s="78"/>
    </row>
    <row r="302" spans="1:27">
      <c r="L302" s="78"/>
      <c r="M302" s="78"/>
      <c r="N302" s="78"/>
      <c r="O302" s="78"/>
      <c r="P302" s="78"/>
      <c r="Q302" s="78"/>
      <c r="R302" s="78"/>
      <c r="S302" s="78"/>
      <c r="T302" s="78"/>
      <c r="U302" s="78"/>
      <c r="V302" s="78"/>
      <c r="W302" s="78"/>
      <c r="X302" s="78"/>
      <c r="Y302" s="78"/>
      <c r="Z302" s="78"/>
      <c r="AA302" s="78"/>
    </row>
    <row r="303" spans="1:27">
      <c r="L303" s="78"/>
      <c r="M303" s="78"/>
      <c r="N303" s="78"/>
      <c r="O303" s="78"/>
      <c r="P303" s="78"/>
      <c r="Q303" s="78"/>
      <c r="R303" s="78"/>
      <c r="S303" s="78"/>
      <c r="T303" s="78"/>
      <c r="U303" s="78"/>
      <c r="V303" s="78"/>
      <c r="W303" s="78"/>
      <c r="X303" s="78"/>
      <c r="Y303" s="78"/>
      <c r="Z303" s="78"/>
      <c r="AA303" s="78"/>
    </row>
  </sheetData>
  <mergeCells count="2">
    <mergeCell ref="AC140:AC141"/>
    <mergeCell ref="I264:K265"/>
  </mergeCells>
  <phoneticPr fontId="14" type="noConversion"/>
  <pageMargins left="0.75" right="0.75" top="1" bottom="1" header="0" footer="0"/>
  <pageSetup paperSize="9" orientation="portrait" horizontalDpi="0" verticalDpi="0" r:id="rId1"/>
  <headerFooter alignWithMargins="0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/>
  <dimension ref="A1:N130"/>
  <sheetViews>
    <sheetView workbookViewId="0">
      <selection activeCell="B17" sqref="B17"/>
    </sheetView>
  </sheetViews>
  <sheetFormatPr baseColWidth="10" defaultRowHeight="12.75"/>
  <cols>
    <col min="1" max="1" width="15" customWidth="1"/>
    <col min="8" max="8" width="12.140625" bestFit="1" customWidth="1"/>
    <col min="10" max="10" width="12.28515625" bestFit="1" customWidth="1"/>
  </cols>
  <sheetData>
    <row r="1" spans="1:14">
      <c r="A1" s="96"/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</row>
    <row r="2" spans="1:14">
      <c r="A2" s="95" t="s">
        <v>662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</row>
    <row r="3" spans="1:14">
      <c r="A3" s="292" t="s">
        <v>574</v>
      </c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</row>
    <row r="4" spans="1:14">
      <c r="A4" s="292"/>
      <c r="B4" s="95"/>
      <c r="C4" s="95"/>
      <c r="D4" s="95"/>
      <c r="E4" s="178"/>
      <c r="F4" s="95" t="s">
        <v>343</v>
      </c>
      <c r="G4" s="95"/>
      <c r="H4" s="95"/>
      <c r="I4" s="363">
        <f>+'Balance enfriamiento'!AD260</f>
        <v>44313.949519365</v>
      </c>
      <c r="J4" s="95" t="s">
        <v>449</v>
      </c>
      <c r="K4" s="96"/>
      <c r="L4" s="96"/>
      <c r="M4" s="96"/>
      <c r="N4" s="96"/>
    </row>
    <row r="5" spans="1:14">
      <c r="A5" s="96" t="s">
        <v>344</v>
      </c>
      <c r="B5" s="96"/>
      <c r="C5" s="96"/>
      <c r="D5" s="96"/>
      <c r="E5" s="178"/>
      <c r="F5" s="96"/>
      <c r="G5" s="96"/>
      <c r="H5" s="96"/>
      <c r="I5" s="96"/>
      <c r="J5" s="96"/>
      <c r="K5" s="96"/>
      <c r="L5" s="96"/>
      <c r="M5" s="96"/>
      <c r="N5" s="96"/>
    </row>
    <row r="6" spans="1:14">
      <c r="A6" s="96" t="s">
        <v>464</v>
      </c>
      <c r="B6" s="96"/>
      <c r="C6" s="96"/>
      <c r="D6" s="96"/>
      <c r="E6" s="178"/>
      <c r="F6" s="95" t="s">
        <v>533</v>
      </c>
      <c r="G6" s="95"/>
      <c r="H6" s="95"/>
      <c r="I6" s="96"/>
      <c r="J6" s="96"/>
      <c r="K6" s="96"/>
      <c r="L6" s="96"/>
      <c r="M6" s="96"/>
      <c r="N6" s="96"/>
    </row>
    <row r="7" spans="1:14">
      <c r="A7" s="96"/>
      <c r="B7" s="96"/>
      <c r="C7" s="96"/>
      <c r="D7" s="96"/>
      <c r="E7" s="178"/>
      <c r="F7" s="95" t="s">
        <v>187</v>
      </c>
      <c r="G7" s="95" t="s">
        <v>210</v>
      </c>
      <c r="H7" s="95" t="s">
        <v>534</v>
      </c>
      <c r="I7" s="96"/>
      <c r="J7" s="96"/>
      <c r="K7" s="96"/>
      <c r="L7" s="96"/>
      <c r="M7" s="96"/>
      <c r="N7" s="96"/>
    </row>
    <row r="8" spans="1:14">
      <c r="A8" s="96" t="s">
        <v>466</v>
      </c>
      <c r="B8" s="96"/>
      <c r="C8" s="96"/>
      <c r="D8" s="96"/>
      <c r="E8" s="178"/>
      <c r="F8" s="127">
        <v>0</v>
      </c>
      <c r="G8" s="127">
        <f>IF((0.35*'Balance enfriamiento'!$D$113*'Balance enfriamiento'!$D$114*('Balance enfriamiento'!AA12-'Balance enfriamiento'!$G$266))&lt;0,($B$16),0)</f>
        <v>20</v>
      </c>
      <c r="H8" s="98">
        <f>IF((0.35*'Balance enfriamiento'!$D$113*'Balance enfriamiento'!$D$114*('Balance enfriamiento'!AA12-'Balance enfriamiento'!$J$266)*G8)&lt;0,(0.35*'Balance enfriamiento'!$D$113*'Balance enfriamiento'!$D$114*('Balance enfriamiento'!AA12-'Balance enfriamiento'!$J$266)*G8),0)</f>
        <v>-6604.3816681499975</v>
      </c>
      <c r="I8" s="96" t="s">
        <v>223</v>
      </c>
      <c r="J8" s="96"/>
      <c r="K8" s="96"/>
      <c r="L8" s="96"/>
      <c r="M8" s="96"/>
      <c r="N8" s="96"/>
    </row>
    <row r="9" spans="1:14">
      <c r="A9" s="96" t="s">
        <v>465</v>
      </c>
      <c r="B9" s="96"/>
      <c r="C9" s="96"/>
      <c r="D9" s="96"/>
      <c r="E9" s="178"/>
      <c r="F9" s="127">
        <v>2</v>
      </c>
      <c r="G9" s="127">
        <f>IF((0.35*'Balance enfriamiento'!$D$113*'Balance enfriamiento'!$D$114*('Balance enfriamiento'!AA13-'Balance enfriamiento'!$G$266))&lt;0,($B$16),0)</f>
        <v>20</v>
      </c>
      <c r="H9" s="98">
        <f>IF((0.35*'Balance enfriamiento'!$D$113*'Balance enfriamiento'!$D$114*('Balance enfriamiento'!AA13-'Balance enfriamiento'!$J$266)*G9)&lt;0,(0.35*'Balance enfriamiento'!$D$113*'Balance enfriamiento'!$D$114*('Balance enfriamiento'!AA13-'Balance enfriamiento'!$J$266)*G9),0)</f>
        <v>-8306.7533403749931</v>
      </c>
      <c r="I9" s="96" t="s">
        <v>223</v>
      </c>
      <c r="J9" s="96"/>
      <c r="K9" s="96"/>
      <c r="L9" s="96"/>
      <c r="M9" s="96"/>
      <c r="N9" s="96"/>
    </row>
    <row r="10" spans="1:14">
      <c r="A10" s="96"/>
      <c r="B10" s="96"/>
      <c r="C10" s="96"/>
      <c r="D10" s="96"/>
      <c r="E10" s="178"/>
      <c r="F10" s="127">
        <v>4</v>
      </c>
      <c r="G10" s="127">
        <f>IF((0.35*'Balance enfriamiento'!$D$113*'Balance enfriamiento'!$D$114*('Balance enfriamiento'!AA14-'Balance enfriamiento'!$G$266))&lt;0,($B$16),0)</f>
        <v>20</v>
      </c>
      <c r="H10" s="98">
        <f>IF((0.35*'Balance enfriamiento'!$D$113*'Balance enfriamiento'!$D$114*('Balance enfriamiento'!AA14-'Balance enfriamiento'!$J$266)*G10)&lt;0,(0.35*'Balance enfriamiento'!$D$113*'Balance enfriamiento'!$D$114*('Balance enfriamiento'!AA14-'Balance enfriamiento'!$J$266)*G10),0)</f>
        <v>-10009.125012599996</v>
      </c>
      <c r="I10" s="96" t="s">
        <v>223</v>
      </c>
      <c r="J10" s="96"/>
      <c r="K10" s="96"/>
      <c r="L10" s="96"/>
      <c r="M10" s="96"/>
      <c r="N10" s="96"/>
    </row>
    <row r="11" spans="1:14">
      <c r="A11" s="292" t="s">
        <v>554</v>
      </c>
      <c r="B11" s="96"/>
      <c r="C11" s="96"/>
      <c r="D11" s="96"/>
      <c r="E11" s="178"/>
      <c r="F11" s="127">
        <v>6</v>
      </c>
      <c r="G11" s="127">
        <f>IF((0.35*'Balance enfriamiento'!$D$113*'Balance enfriamiento'!$D$114*('Balance enfriamiento'!AA15-'Balance enfriamiento'!$G$266))&lt;0,($B$16),0)</f>
        <v>20</v>
      </c>
      <c r="H11" s="98">
        <f>IF((0.35*'Balance enfriamiento'!$D$113*'Balance enfriamiento'!$D$114*('Balance enfriamiento'!AA15-'Balance enfriamiento'!$J$266)*G11)&lt;0,(0.35*'Balance enfriamiento'!$D$113*'Balance enfriamiento'!$D$114*('Balance enfriamiento'!AA15-'Balance enfriamiento'!$J$266)*G11),0)</f>
        <v>-11157.713128799995</v>
      </c>
      <c r="I11" s="96" t="s">
        <v>223</v>
      </c>
      <c r="J11" s="96"/>
      <c r="K11" s="96"/>
      <c r="L11" s="96"/>
      <c r="M11" s="96"/>
      <c r="N11" s="96"/>
    </row>
    <row r="12" spans="1:14">
      <c r="A12" s="96" t="s">
        <v>519</v>
      </c>
      <c r="B12" s="96"/>
      <c r="C12" s="96"/>
      <c r="D12" s="96"/>
      <c r="E12" s="178"/>
      <c r="F12" s="127">
        <v>8</v>
      </c>
      <c r="G12" s="127">
        <f>IF((0.35*'Balance enfriamiento'!$D$113*'Balance enfriamiento'!$D$114*('Balance enfriamiento'!AA16-'Balance enfriamiento'!$G$266))&lt;0,($B$16),0)</f>
        <v>20</v>
      </c>
      <c r="H12" s="98">
        <f>IF((0.35*'Balance enfriamiento'!$D$113*'Balance enfriamiento'!$D$114*('Balance enfriamiento'!AA16-'Balance enfriamiento'!$J$266)*G12)&lt;0,(0.35*'Balance enfriamiento'!$D$113*'Balance enfriamiento'!$D$114*('Balance enfriamiento'!AA16-'Balance enfriamiento'!$J$266)*G12),0)</f>
        <v>-8881.0473984749951</v>
      </c>
      <c r="I12" s="96" t="s">
        <v>223</v>
      </c>
      <c r="J12" s="96"/>
      <c r="K12" s="96"/>
      <c r="L12" s="96"/>
      <c r="M12" s="96"/>
      <c r="N12" s="96"/>
    </row>
    <row r="13" spans="1:14">
      <c r="A13" s="292" t="s">
        <v>596</v>
      </c>
      <c r="B13" s="96"/>
      <c r="C13" s="96"/>
      <c r="D13" s="96"/>
      <c r="E13" s="178"/>
      <c r="F13" s="127">
        <v>10</v>
      </c>
      <c r="G13" s="127">
        <v>0</v>
      </c>
      <c r="H13" s="98">
        <f>IF((0.35*'Balance enfriamiento'!$D$113*'Balance enfriamiento'!$D$114*('Balance enfriamiento'!AA17-'Balance enfriamiento'!$J$266)*G13)&lt;0,(0.35*'Balance enfriamiento'!$D$113*'Balance enfriamiento'!$D$114*('Balance enfriamiento'!AA17-'Balance enfriamiento'!$J$266)*G13),0)</f>
        <v>0</v>
      </c>
      <c r="I13" s="96" t="s">
        <v>223</v>
      </c>
      <c r="J13" s="96"/>
      <c r="K13" s="96"/>
      <c r="L13" s="96"/>
      <c r="M13" s="96"/>
      <c r="N13" s="96"/>
    </row>
    <row r="14" spans="1:14">
      <c r="A14" s="292" t="s">
        <v>597</v>
      </c>
      <c r="B14" s="96"/>
      <c r="C14" s="96"/>
      <c r="D14" s="96"/>
      <c r="E14" s="178"/>
      <c r="F14" s="127">
        <v>12</v>
      </c>
      <c r="G14" s="127">
        <f>IF((0.35*'Balance enfriamiento'!$D$113*'Balance enfriamiento'!$D$114*('Balance enfriamiento'!AA18-'Balance enfriamiento'!$G$266))&lt;0,($B$16),0)</f>
        <v>0</v>
      </c>
      <c r="H14" s="98">
        <f>IF((0.35*'Balance enfriamiento'!$D$113*'Balance enfriamiento'!$D$114*('Balance enfriamiento'!AA18-'Balance enfriamiento'!$J$266)*G14)&lt;0,(0.35*'Balance enfriamiento'!$D$113*'Balance enfriamiento'!$D$114*('Balance enfriamiento'!AA18-'Balance enfriamiento'!$J$266)*G14),0)</f>
        <v>0</v>
      </c>
      <c r="I14" s="96" t="s">
        <v>223</v>
      </c>
      <c r="J14" s="96"/>
      <c r="K14" s="96"/>
      <c r="L14" s="96"/>
      <c r="M14" s="96"/>
      <c r="N14" s="96"/>
    </row>
    <row r="15" spans="1:14">
      <c r="A15" s="178"/>
      <c r="B15" s="178"/>
      <c r="C15" s="96"/>
      <c r="D15" s="96"/>
      <c r="E15" s="185"/>
      <c r="F15" s="127">
        <v>14</v>
      </c>
      <c r="G15" s="127">
        <f>IF((0.35*'Balance enfriamiento'!$D$113*'Balance enfriamiento'!$D$114*('Balance enfriamiento'!AA19-'Balance enfriamiento'!$G$266))&lt;0,($B$16),0)</f>
        <v>0</v>
      </c>
      <c r="H15" s="98">
        <f>IF((0.35*'Balance enfriamiento'!$D$113*'Balance enfriamiento'!$D$114*('Balance enfriamiento'!AA19-'Balance enfriamiento'!$J$266)*G15)&lt;0,(0.35*'Balance enfriamiento'!$D$113*'Balance enfriamiento'!$D$114*('Balance enfriamiento'!AA19-'Balance enfriamiento'!$J$266)*G15),0)</f>
        <v>0</v>
      </c>
      <c r="I15" s="96" t="s">
        <v>223</v>
      </c>
      <c r="J15" s="96"/>
      <c r="K15" s="96"/>
      <c r="L15" s="96"/>
      <c r="M15" s="96"/>
      <c r="N15" s="96"/>
    </row>
    <row r="16" spans="1:14">
      <c r="A16" s="185" t="s">
        <v>397</v>
      </c>
      <c r="B16" s="366">
        <v>20</v>
      </c>
      <c r="C16" s="178"/>
      <c r="D16" s="178"/>
      <c r="E16" s="178"/>
      <c r="F16" s="127">
        <v>16</v>
      </c>
      <c r="G16" s="127">
        <f>IF((0.35*'Balance enfriamiento'!$D$113*'Balance enfriamiento'!$D$114*('Balance enfriamiento'!AA20-'Balance enfriamiento'!$G$266))&lt;0,($B$16),0)</f>
        <v>0</v>
      </c>
      <c r="H16" s="98">
        <f>IF((0.35*'Balance enfriamiento'!$D$113*'Balance enfriamiento'!$D$114*('Balance enfriamiento'!AA20-'Balance enfriamiento'!$J$266)*G16)&lt;0,(0.35*'Balance enfriamiento'!$D$113*'Balance enfriamiento'!$D$114*('Balance enfriamiento'!AA20-'Balance enfriamiento'!$J$266)*G16),0)</f>
        <v>0</v>
      </c>
      <c r="I16" s="96" t="s">
        <v>223</v>
      </c>
      <c r="J16" s="96"/>
      <c r="K16" s="96"/>
      <c r="L16" s="96"/>
      <c r="M16" s="96"/>
      <c r="N16" s="96"/>
    </row>
    <row r="17" spans="1:14">
      <c r="A17" s="178"/>
      <c r="B17" s="178"/>
      <c r="C17" s="178"/>
      <c r="D17" s="178"/>
      <c r="E17" s="178"/>
      <c r="F17" s="127">
        <v>18</v>
      </c>
      <c r="G17" s="127">
        <f>IF((0.35*'Balance enfriamiento'!$D$113*'Balance enfriamiento'!$D$114*('Balance enfriamiento'!AA21-'Balance enfriamiento'!$G$266))&lt;0,($B$16),0)</f>
        <v>0</v>
      </c>
      <c r="H17" s="98">
        <f>IF((0.35*'Balance enfriamiento'!$D$113*'Balance enfriamiento'!$D$114*('Balance enfriamiento'!AA21-'Balance enfriamiento'!$J$266)*G17)&lt;0,(0.35*'Balance enfriamiento'!$D$113*'Balance enfriamiento'!$D$114*('Balance enfriamiento'!AA21-'Balance enfriamiento'!$J$266)*G17),0)</f>
        <v>0</v>
      </c>
      <c r="I17" s="96" t="s">
        <v>223</v>
      </c>
      <c r="J17" s="96"/>
      <c r="K17" s="96"/>
      <c r="L17" s="96"/>
      <c r="M17" s="96"/>
      <c r="N17" s="96"/>
    </row>
    <row r="18" spans="1:14">
      <c r="A18" s="185" t="s">
        <v>345</v>
      </c>
      <c r="B18" s="185"/>
      <c r="C18" s="185"/>
      <c r="D18" s="185"/>
      <c r="E18" s="178"/>
      <c r="F18" s="127">
        <v>20</v>
      </c>
      <c r="G18" s="127">
        <f>IF((0.35*'Balance enfriamiento'!$D$113*'Balance enfriamiento'!$D$114*('Balance enfriamiento'!AA22-'Balance enfriamiento'!$G$266))&lt;0,($B$16),0)</f>
        <v>0</v>
      </c>
      <c r="H18" s="98">
        <f>IF((0.35*'Balance enfriamiento'!$D$113*'Balance enfriamiento'!$D$114*('Balance enfriamiento'!AA22-'Balance enfriamiento'!$J$266)*G18)&lt;0,(0.35*'Balance enfriamiento'!$D$113*'Balance enfriamiento'!$D$114*('Balance enfriamiento'!AA22-'Balance enfriamiento'!$J$266)*G18),0)</f>
        <v>0</v>
      </c>
      <c r="I18" s="96" t="s">
        <v>223</v>
      </c>
      <c r="J18" s="96"/>
      <c r="K18" s="96"/>
      <c r="L18" s="96"/>
      <c r="M18" s="96"/>
      <c r="N18" s="96"/>
    </row>
    <row r="19" spans="1:14">
      <c r="A19" s="186" t="s">
        <v>555</v>
      </c>
      <c r="B19" s="185"/>
      <c r="C19" s="185"/>
      <c r="D19" s="185"/>
      <c r="E19" s="178"/>
      <c r="F19" s="127">
        <v>22</v>
      </c>
      <c r="G19" s="127">
        <f>IF((0.35*'Balance enfriamiento'!$D$113*'Balance enfriamiento'!$D$114*('Balance enfriamiento'!AA23-'Balance enfriamiento'!$G$266))&lt;0,($B$16),0)</f>
        <v>20</v>
      </c>
      <c r="H19" s="98">
        <f>IF((0.35*'Balance enfriamiento'!$D$113*'Balance enfriamiento'!$D$114*('Balance enfriamiento'!AA23-'Balance enfriamiento'!$J$266)*G19)&lt;0,(0.35*'Balance enfriamiento'!$D$113*'Balance enfriamiento'!$D$114*('Balance enfriamiento'!AA23-'Balance enfriamiento'!$J$266)*G19),0)</f>
        <v>-4819.9679876249938</v>
      </c>
      <c r="I19" s="96" t="s">
        <v>223</v>
      </c>
      <c r="J19" s="96"/>
      <c r="K19" s="96"/>
      <c r="L19" s="96"/>
      <c r="M19" s="96"/>
      <c r="N19" s="96"/>
    </row>
    <row r="20" spans="1:14">
      <c r="A20" s="186" t="s">
        <v>556</v>
      </c>
      <c r="B20" s="185"/>
      <c r="C20" s="185"/>
      <c r="D20" s="185"/>
      <c r="E20" s="178"/>
      <c r="F20" s="96"/>
      <c r="G20" s="95"/>
      <c r="H20" s="95"/>
      <c r="I20" s="96"/>
      <c r="J20" s="96"/>
      <c r="K20" s="96"/>
      <c r="L20" s="96"/>
      <c r="M20" s="96"/>
      <c r="N20" s="96"/>
    </row>
    <row r="21" spans="1:14">
      <c r="A21" s="186" t="s">
        <v>593</v>
      </c>
      <c r="B21" s="185"/>
      <c r="C21" s="185"/>
      <c r="D21" s="185"/>
      <c r="E21" s="178"/>
      <c r="F21" s="96"/>
      <c r="G21" s="126" t="s">
        <v>0</v>
      </c>
      <c r="H21" s="363">
        <f>SUM(H8:H19)</f>
        <v>-49778.988536024968</v>
      </c>
      <c r="I21" s="292" t="s">
        <v>449</v>
      </c>
      <c r="J21" s="96"/>
      <c r="K21" s="96"/>
      <c r="L21" s="96"/>
      <c r="M21" s="96"/>
      <c r="N21" s="96"/>
    </row>
    <row r="22" spans="1:14">
      <c r="A22" s="178" t="s">
        <v>594</v>
      </c>
      <c r="B22" s="178"/>
      <c r="C22" s="178"/>
      <c r="D22" s="178"/>
      <c r="E22" s="178"/>
      <c r="F22" s="185"/>
      <c r="G22" s="185"/>
      <c r="H22" s="185"/>
      <c r="I22" s="185"/>
      <c r="J22" s="185"/>
      <c r="K22" s="185"/>
      <c r="L22" s="96"/>
      <c r="M22" s="96"/>
      <c r="N22" s="96"/>
    </row>
    <row r="23" spans="1:14">
      <c r="A23" s="395" t="s">
        <v>595</v>
      </c>
      <c r="B23" s="178"/>
      <c r="C23" s="178"/>
      <c r="D23" s="178"/>
      <c r="E23" s="178"/>
      <c r="F23" s="185"/>
      <c r="G23" s="185"/>
      <c r="H23" s="185"/>
      <c r="I23" s="185"/>
      <c r="J23" s="185"/>
      <c r="K23" s="185"/>
      <c r="L23" s="96"/>
      <c r="M23" s="96"/>
      <c r="N23" s="96"/>
    </row>
    <row r="24" spans="1:14">
      <c r="A24" s="505" t="s">
        <v>661</v>
      </c>
      <c r="B24" s="178"/>
      <c r="C24" s="178"/>
      <c r="D24" s="178"/>
      <c r="E24" s="504" t="str">
        <f>IF(H21=0,"ESTA ESTRATEGIA NO APLICA PARA OBTENER"," ")</f>
        <v xml:space="preserve"> </v>
      </c>
      <c r="F24" s="178"/>
      <c r="G24" s="178"/>
      <c r="H24" s="178"/>
      <c r="I24" s="506" t="str">
        <f>IF(H21=0,+'Balance enfriamiento'!G266,"  ")</f>
        <v xml:space="preserve">  </v>
      </c>
      <c r="J24" s="506" t="str">
        <f>IF(H21=0,"°C (Solicitados en el Balance de Enfriamiento)"," ")</f>
        <v xml:space="preserve"> </v>
      </c>
      <c r="K24" s="506"/>
      <c r="L24" s="506"/>
      <c r="M24" s="508"/>
      <c r="N24" s="96"/>
    </row>
    <row r="25" spans="1:14">
      <c r="A25" s="185" t="s">
        <v>660</v>
      </c>
      <c r="B25" s="185"/>
      <c r="C25" s="185"/>
      <c r="D25" s="185"/>
      <c r="E25" s="507" t="str">
        <f>IF(B16&gt;50,"ESTA ESTRATEGIA NO SERIA SUFICIENTE CON VENTILACION NATURAL"," ")</f>
        <v xml:space="preserve"> </v>
      </c>
      <c r="F25" s="185"/>
      <c r="G25" s="185"/>
      <c r="H25" s="185"/>
      <c r="I25" s="185"/>
      <c r="J25" s="185"/>
      <c r="K25" s="185"/>
      <c r="L25" s="185"/>
      <c r="M25" s="96"/>
      <c r="N25" s="96"/>
    </row>
    <row r="26" spans="1:14">
      <c r="A26" s="185"/>
      <c r="B26" s="185"/>
      <c r="C26" s="185"/>
      <c r="D26" s="185"/>
      <c r="E26" s="185"/>
      <c r="F26" s="185"/>
      <c r="G26" s="185"/>
      <c r="H26" s="185"/>
      <c r="I26" s="185"/>
      <c r="J26" s="185"/>
      <c r="K26" s="185"/>
      <c r="L26" s="185"/>
      <c r="M26" s="96"/>
      <c r="N26" s="96"/>
    </row>
    <row r="27" spans="1:14">
      <c r="A27" s="178"/>
      <c r="B27" s="178"/>
      <c r="C27" s="178"/>
      <c r="D27" s="178"/>
      <c r="E27" s="178"/>
      <c r="F27" s="178"/>
      <c r="G27" s="178"/>
      <c r="H27" s="178"/>
      <c r="I27" s="185"/>
      <c r="J27" s="185"/>
      <c r="K27" s="185"/>
      <c r="L27" s="185"/>
      <c r="M27" s="96"/>
      <c r="N27" s="96"/>
    </row>
    <row r="28" spans="1:14">
      <c r="A28" s="95" t="s">
        <v>575</v>
      </c>
      <c r="B28" s="96"/>
      <c r="C28" s="96"/>
      <c r="D28" s="96"/>
      <c r="E28" s="96"/>
      <c r="F28" s="96"/>
      <c r="G28" s="96"/>
      <c r="H28" s="7"/>
      <c r="I28" s="7"/>
      <c r="J28" s="7"/>
      <c r="K28" s="7"/>
      <c r="L28" s="96"/>
      <c r="M28" s="96"/>
      <c r="N28" s="96"/>
    </row>
    <row r="29" spans="1:14">
      <c r="A29" s="96" t="s">
        <v>572</v>
      </c>
      <c r="B29" s="96"/>
      <c r="C29" s="96"/>
      <c r="D29" s="96"/>
      <c r="E29" s="96"/>
      <c r="F29" s="96"/>
      <c r="G29" s="96"/>
      <c r="H29" s="7"/>
      <c r="I29" s="7"/>
      <c r="J29" s="7"/>
      <c r="K29" s="7"/>
      <c r="L29" s="96"/>
      <c r="M29" s="96"/>
      <c r="N29" s="96"/>
    </row>
    <row r="30" spans="1:14">
      <c r="A30" s="95"/>
      <c r="B30" s="96"/>
      <c r="C30" s="96"/>
      <c r="D30" s="96"/>
      <c r="E30" s="96"/>
      <c r="F30" s="96"/>
      <c r="G30" s="96"/>
      <c r="H30" s="7"/>
      <c r="I30" s="7"/>
      <c r="J30" s="7"/>
      <c r="K30" s="7"/>
      <c r="L30" s="96"/>
      <c r="M30" s="96"/>
      <c r="N30" s="96"/>
    </row>
    <row r="31" spans="1:14">
      <c r="A31" s="95" t="s">
        <v>571</v>
      </c>
      <c r="B31" s="96"/>
      <c r="C31" s="96"/>
      <c r="D31" s="96"/>
      <c r="E31" s="96"/>
      <c r="F31" s="96"/>
      <c r="G31" s="96"/>
      <c r="H31" s="7"/>
      <c r="I31" s="7"/>
      <c r="J31" s="7"/>
      <c r="K31" s="7"/>
      <c r="L31" s="96"/>
      <c r="M31" s="96"/>
      <c r="N31" s="96"/>
    </row>
    <row r="32" spans="1:14">
      <c r="A32" s="96"/>
      <c r="B32" s="96"/>
      <c r="C32" s="96"/>
      <c r="D32" s="96"/>
      <c r="E32" s="96"/>
      <c r="F32" s="96"/>
      <c r="G32" s="96"/>
      <c r="H32" s="7"/>
      <c r="I32" s="7"/>
      <c r="J32" s="7"/>
      <c r="K32" s="7"/>
      <c r="L32" s="96"/>
      <c r="M32" s="96"/>
      <c r="N32" s="96"/>
    </row>
    <row r="33" spans="1:14" ht="14.25">
      <c r="A33" s="292" t="s">
        <v>511</v>
      </c>
      <c r="B33" s="96"/>
      <c r="C33" s="96"/>
      <c r="D33" s="96"/>
      <c r="E33" s="222">
        <f>+superficies!D22</f>
        <v>261.89999999999998</v>
      </c>
      <c r="F33" s="292" t="s">
        <v>510</v>
      </c>
      <c r="G33" s="96"/>
      <c r="H33" s="7"/>
      <c r="I33" s="7"/>
      <c r="J33" s="7"/>
      <c r="K33" s="7"/>
      <c r="L33" s="96"/>
      <c r="M33" s="96"/>
      <c r="N33" s="96"/>
    </row>
    <row r="34" spans="1:14">
      <c r="A34" s="96" t="s">
        <v>228</v>
      </c>
      <c r="B34" s="96"/>
      <c r="C34" s="96"/>
      <c r="D34" s="96"/>
      <c r="E34" s="127">
        <f>+'Enf. convectivo nocturno'!B16</f>
        <v>20</v>
      </c>
      <c r="F34" s="292" t="s">
        <v>514</v>
      </c>
      <c r="G34" s="96"/>
      <c r="H34" s="7"/>
      <c r="I34" s="7"/>
      <c r="J34" s="7"/>
      <c r="K34" s="7"/>
      <c r="L34" s="96"/>
      <c r="M34" s="96"/>
      <c r="N34" s="96"/>
    </row>
    <row r="35" spans="1:14" ht="14.25">
      <c r="A35" s="292" t="s">
        <v>512</v>
      </c>
      <c r="B35" s="96"/>
      <c r="C35" s="96"/>
      <c r="D35" s="96"/>
      <c r="E35" s="127">
        <f>+E34*E33</f>
        <v>5238</v>
      </c>
      <c r="F35" s="292" t="s">
        <v>516</v>
      </c>
      <c r="G35" s="96"/>
      <c r="H35" s="7"/>
      <c r="I35" s="7"/>
      <c r="J35" s="7"/>
      <c r="K35" s="7"/>
      <c r="L35" s="96"/>
      <c r="M35" s="96"/>
      <c r="N35" s="96"/>
    </row>
    <row r="36" spans="1:14">
      <c r="A36" s="292" t="s">
        <v>513</v>
      </c>
      <c r="B36" s="96"/>
      <c r="C36" s="96"/>
      <c r="D36" s="96"/>
      <c r="E36" s="149" t="str">
        <f>VLOOKUP(Lugar!E84,Lugar!A65:C84,2)</f>
        <v>Salta</v>
      </c>
      <c r="F36" s="96"/>
      <c r="G36" s="96"/>
      <c r="H36" s="7"/>
      <c r="I36" s="7"/>
      <c r="J36" s="7"/>
      <c r="K36" s="7"/>
      <c r="L36" s="96"/>
      <c r="M36" s="96"/>
      <c r="N36" s="96"/>
    </row>
    <row r="37" spans="1:14">
      <c r="A37" s="292" t="s">
        <v>517</v>
      </c>
      <c r="B37" s="96"/>
      <c r="C37" s="96"/>
      <c r="D37" s="96"/>
      <c r="E37" s="225">
        <f>VLOOKUP(Lugar!E84,Lugar!A65:D84,4)</f>
        <v>9</v>
      </c>
      <c r="F37" s="314" t="s">
        <v>515</v>
      </c>
      <c r="G37" s="96"/>
      <c r="H37" s="7"/>
      <c r="I37" s="7"/>
      <c r="J37" s="7"/>
      <c r="K37" s="7"/>
      <c r="L37" s="96"/>
      <c r="M37" s="96"/>
      <c r="N37" s="96"/>
    </row>
    <row r="38" spans="1:14">
      <c r="A38" s="96" t="s">
        <v>526</v>
      </c>
      <c r="B38" s="96"/>
      <c r="C38" s="96"/>
      <c r="D38" s="96"/>
      <c r="E38" s="127" t="str">
        <f>VLOOKUP(Lugar!E84,Lugar!A64:I84,8)</f>
        <v>E</v>
      </c>
      <c r="F38" s="317" t="s">
        <v>521</v>
      </c>
      <c r="G38" s="318"/>
      <c r="H38" s="319"/>
      <c r="I38" s="7"/>
      <c r="J38" s="7"/>
      <c r="K38" s="7"/>
      <c r="L38" s="96"/>
      <c r="M38" s="96"/>
      <c r="N38" s="96"/>
    </row>
    <row r="39" spans="1:14">
      <c r="A39" s="292" t="s">
        <v>474</v>
      </c>
      <c r="B39" s="96"/>
      <c r="C39" s="96"/>
      <c r="D39" s="96"/>
      <c r="E39" s="127">
        <f>VLOOKUP(Lugar!E84,Lugar!A64:I84,7)</f>
        <v>45</v>
      </c>
      <c r="F39" s="317" t="s">
        <v>473</v>
      </c>
      <c r="G39" s="318"/>
      <c r="H39" s="318" t="str">
        <f>VLOOKUP(Lugar!E84,Lugar!A64:I84,8)</f>
        <v>E</v>
      </c>
      <c r="I39" s="7"/>
      <c r="J39" s="7"/>
      <c r="K39" s="7"/>
      <c r="L39" s="96"/>
      <c r="M39" s="96"/>
      <c r="N39" s="96"/>
    </row>
    <row r="40" spans="1:14">
      <c r="A40" s="292" t="s">
        <v>484</v>
      </c>
      <c r="B40" s="96"/>
      <c r="C40" s="96"/>
      <c r="D40" s="96"/>
      <c r="E40" s="96"/>
      <c r="F40" s="96"/>
      <c r="G40" s="96"/>
      <c r="H40" s="7"/>
      <c r="I40" s="7"/>
      <c r="J40" s="7"/>
      <c r="K40" s="7"/>
      <c r="L40" s="96"/>
      <c r="M40" s="96"/>
      <c r="N40" s="96"/>
    </row>
    <row r="41" spans="1:14">
      <c r="A41" s="96"/>
      <c r="B41" s="292" t="s">
        <v>483</v>
      </c>
      <c r="C41" s="292"/>
      <c r="D41" s="96" t="s">
        <v>182</v>
      </c>
      <c r="E41" s="96">
        <f>IF($E$39&lt;22.5,0.4,IF($E$39&lt;40,0.4,IF($E$39&lt;60,0.25,IF($E$39&lt;=80,-0.06,-0.4))))</f>
        <v>0.25</v>
      </c>
      <c r="F41" s="96"/>
      <c r="G41" s="96"/>
      <c r="H41" s="7"/>
      <c r="I41" s="7"/>
      <c r="J41" s="7"/>
      <c r="K41" s="7"/>
      <c r="L41" s="96"/>
      <c r="M41" s="96"/>
      <c r="N41" s="96"/>
    </row>
    <row r="42" spans="1:14">
      <c r="A42" s="96"/>
      <c r="B42" s="292" t="s">
        <v>483</v>
      </c>
      <c r="C42" s="96"/>
      <c r="D42" s="96" t="s">
        <v>229</v>
      </c>
      <c r="E42" s="96">
        <f>IF($E$39&lt;22.5,-0.4,IF($E$39&lt;40,-0.06,IF($E$39&lt;60,0.25,IF($E$39&lt;=80,0.3,0.4))))</f>
        <v>0.25</v>
      </c>
      <c r="F42" s="96"/>
      <c r="G42" s="96"/>
      <c r="H42" s="7"/>
      <c r="I42" s="7"/>
      <c r="J42" s="7"/>
      <c r="K42" s="7"/>
      <c r="L42" s="96"/>
      <c r="M42" s="96"/>
      <c r="N42" s="96"/>
    </row>
    <row r="43" spans="1:14">
      <c r="A43" s="96"/>
      <c r="B43" s="292" t="s">
        <v>483</v>
      </c>
      <c r="C43" s="96"/>
      <c r="D43" s="96" t="s">
        <v>184</v>
      </c>
      <c r="E43" s="96">
        <f>IF($E$39&lt;22.5,-0.25,IF($E$39&lt;40,-0.4,IF($E$39&lt;60,-0.45,IF($E$39&lt;=80,-0.55,-0.4))))</f>
        <v>-0.45</v>
      </c>
      <c r="F43" s="96"/>
      <c r="G43" s="96"/>
      <c r="H43" s="7"/>
      <c r="I43" s="7"/>
      <c r="J43" s="7"/>
      <c r="K43" s="7"/>
      <c r="L43" s="96"/>
      <c r="M43" s="96"/>
      <c r="N43" s="96"/>
    </row>
    <row r="44" spans="1:14">
      <c r="A44" s="96"/>
      <c r="B44" s="292" t="s">
        <v>483</v>
      </c>
      <c r="C44" s="96"/>
      <c r="D44" s="96" t="s">
        <v>230</v>
      </c>
      <c r="E44" s="96">
        <f>IF($E$39&lt;22.5,-0.4,IF($E$39&lt;40,-0.6,IF($E$39&lt;60,-0.45,IF($E$39&lt;=80,-0.4,-0.25))))</f>
        <v>-0.45</v>
      </c>
      <c r="F44" s="96"/>
      <c r="G44" s="96"/>
      <c r="H44" s="7"/>
      <c r="I44" s="7"/>
      <c r="J44" s="7"/>
      <c r="K44" s="7"/>
      <c r="L44" s="96"/>
      <c r="M44" s="96"/>
      <c r="N44" s="96"/>
    </row>
    <row r="45" spans="1:14">
      <c r="A45" s="96"/>
      <c r="B45" s="292" t="s">
        <v>485</v>
      </c>
      <c r="C45" s="96"/>
      <c r="D45" s="96" t="s">
        <v>186</v>
      </c>
      <c r="E45" s="96">
        <v>-0.3</v>
      </c>
      <c r="F45" s="292" t="s">
        <v>577</v>
      </c>
      <c r="G45" s="96"/>
      <c r="H45" s="7"/>
      <c r="I45" s="7"/>
      <c r="J45" s="7"/>
      <c r="K45" s="7"/>
      <c r="L45" s="96"/>
      <c r="M45" s="96"/>
      <c r="N45" s="96"/>
    </row>
    <row r="46" spans="1:14">
      <c r="A46" s="96"/>
      <c r="B46" s="96"/>
      <c r="C46" s="96"/>
      <c r="D46" s="96"/>
      <c r="E46" s="96"/>
      <c r="F46" s="96"/>
      <c r="G46" s="96"/>
      <c r="H46" s="7"/>
      <c r="I46" s="7"/>
      <c r="J46" s="7"/>
      <c r="K46" s="7"/>
      <c r="L46" s="96"/>
      <c r="M46" s="96"/>
      <c r="N46" s="96"/>
    </row>
    <row r="47" spans="1:14">
      <c r="A47" s="96"/>
      <c r="B47" s="96"/>
      <c r="C47" s="96"/>
      <c r="D47" s="96"/>
      <c r="E47" s="292" t="s">
        <v>522</v>
      </c>
      <c r="F47" s="96"/>
      <c r="G47" s="96"/>
      <c r="H47" s="7"/>
      <c r="I47" s="292" t="s">
        <v>523</v>
      </c>
      <c r="J47" s="7"/>
      <c r="K47" s="7"/>
      <c r="L47" s="96"/>
      <c r="M47" s="96"/>
      <c r="N47" s="96"/>
    </row>
    <row r="48" spans="1:14">
      <c r="A48" s="96"/>
      <c r="B48" s="96"/>
      <c r="C48" s="96"/>
      <c r="D48" s="96"/>
      <c r="E48" s="96" t="s">
        <v>525</v>
      </c>
      <c r="F48" s="96"/>
      <c r="G48" s="96"/>
      <c r="H48" s="7"/>
      <c r="I48" s="7" t="s">
        <v>524</v>
      </c>
      <c r="J48" s="7"/>
      <c r="K48" s="7"/>
      <c r="L48" s="96"/>
      <c r="M48" s="96"/>
      <c r="N48" s="96"/>
    </row>
    <row r="49" spans="1:14">
      <c r="A49" s="96"/>
      <c r="B49" s="96"/>
      <c r="C49" s="96"/>
      <c r="D49" s="96"/>
      <c r="E49" s="96" t="str">
        <f>+F39</f>
        <v xml:space="preserve">   Lado "a" sería:</v>
      </c>
      <c r="F49" s="96"/>
      <c r="G49" s="96" t="str">
        <f>+H39</f>
        <v>E</v>
      </c>
      <c r="H49" s="96"/>
      <c r="I49" s="7"/>
      <c r="J49" s="7"/>
      <c r="K49" s="7"/>
      <c r="L49" s="96"/>
      <c r="M49" s="96"/>
      <c r="N49" s="96"/>
    </row>
    <row r="50" spans="1:14">
      <c r="A50" s="96"/>
      <c r="B50" s="96"/>
      <c r="C50" s="96"/>
      <c r="D50" s="96"/>
      <c r="E50" s="96"/>
      <c r="F50" s="96"/>
      <c r="G50" s="96"/>
      <c r="H50" s="96"/>
      <c r="I50" s="96"/>
      <c r="J50" s="96"/>
      <c r="K50" s="96"/>
      <c r="L50" s="96"/>
      <c r="M50" s="96"/>
      <c r="N50" s="96"/>
    </row>
    <row r="51" spans="1:14">
      <c r="A51" s="96"/>
      <c r="B51" s="96"/>
      <c r="C51" s="96"/>
      <c r="D51" s="96"/>
      <c r="E51" s="292" t="s">
        <v>475</v>
      </c>
      <c r="F51" s="96"/>
      <c r="G51" s="140" t="s">
        <v>476</v>
      </c>
      <c r="H51" s="7">
        <f>+E41-E43</f>
        <v>0.7</v>
      </c>
      <c r="I51" s="140" t="s">
        <v>486</v>
      </c>
      <c r="J51" s="7"/>
      <c r="K51" s="7"/>
      <c r="L51" s="96"/>
      <c r="M51" s="96"/>
      <c r="N51" s="96"/>
    </row>
    <row r="52" spans="1:14">
      <c r="A52" s="96"/>
      <c r="B52" s="96"/>
      <c r="C52" s="96"/>
      <c r="D52" s="96"/>
      <c r="E52" s="292" t="s">
        <v>481</v>
      </c>
      <c r="F52" s="96"/>
      <c r="G52" s="140" t="s">
        <v>477</v>
      </c>
      <c r="H52" s="7">
        <f>+E41-E42</f>
        <v>0</v>
      </c>
      <c r="I52" s="140" t="s">
        <v>487</v>
      </c>
      <c r="J52" s="7"/>
      <c r="K52" s="7"/>
      <c r="L52" s="96"/>
      <c r="M52" s="96"/>
      <c r="N52" s="96"/>
    </row>
    <row r="53" spans="1:14">
      <c r="A53" s="96"/>
      <c r="B53" s="96"/>
      <c r="C53" s="96"/>
      <c r="D53" s="96"/>
      <c r="E53" s="292" t="s">
        <v>482</v>
      </c>
      <c r="F53" s="96"/>
      <c r="G53" s="140" t="s">
        <v>478</v>
      </c>
      <c r="H53" s="7">
        <f>+E41-E44</f>
        <v>0.7</v>
      </c>
      <c r="I53" s="140" t="s">
        <v>488</v>
      </c>
      <c r="J53" s="7"/>
      <c r="K53" s="7"/>
      <c r="L53" s="96"/>
      <c r="M53" s="96"/>
      <c r="N53" s="96"/>
    </row>
    <row r="54" spans="1:14">
      <c r="A54" s="96"/>
      <c r="B54" s="96"/>
      <c r="C54" s="96"/>
      <c r="D54" s="96"/>
      <c r="E54" s="292" t="s">
        <v>480</v>
      </c>
      <c r="F54" s="96"/>
      <c r="G54" s="140" t="s">
        <v>479</v>
      </c>
      <c r="H54" s="7">
        <f>+E41-E45</f>
        <v>0.55000000000000004</v>
      </c>
      <c r="I54" s="140" t="s">
        <v>489</v>
      </c>
      <c r="J54" s="7"/>
      <c r="K54" s="7"/>
      <c r="L54" s="96"/>
      <c r="M54" s="96"/>
      <c r="N54" s="96"/>
    </row>
    <row r="55" spans="1:14">
      <c r="A55" s="96"/>
      <c r="B55" s="96"/>
      <c r="C55" s="96"/>
      <c r="D55" s="96"/>
      <c r="E55" s="96"/>
      <c r="F55" s="96"/>
      <c r="G55" s="96"/>
      <c r="H55" s="7"/>
      <c r="I55" s="7"/>
      <c r="J55" s="7"/>
      <c r="K55" s="7"/>
      <c r="L55" s="96"/>
      <c r="M55" s="96"/>
      <c r="N55" s="96"/>
    </row>
    <row r="56" spans="1:14">
      <c r="A56" s="96"/>
      <c r="B56" s="96"/>
      <c r="C56" s="96"/>
      <c r="D56" s="96"/>
      <c r="E56" s="96"/>
      <c r="F56" s="96"/>
      <c r="G56" s="96"/>
      <c r="H56" s="7"/>
      <c r="I56" s="7"/>
      <c r="J56" s="7"/>
      <c r="K56" s="7"/>
      <c r="L56" s="96"/>
      <c r="M56" s="96"/>
      <c r="N56" s="96"/>
    </row>
    <row r="57" spans="1:14">
      <c r="A57" s="96"/>
      <c r="B57" s="96"/>
      <c r="C57" s="96"/>
      <c r="D57" s="96"/>
      <c r="E57" s="96"/>
      <c r="F57" s="96"/>
      <c r="G57" s="96"/>
      <c r="H57" s="7"/>
      <c r="I57" s="7"/>
      <c r="J57" s="7"/>
      <c r="K57" s="7"/>
      <c r="L57" s="96"/>
      <c r="M57" s="96"/>
      <c r="N57" s="96"/>
    </row>
    <row r="58" spans="1:14">
      <c r="A58" s="96"/>
      <c r="B58" s="96"/>
      <c r="C58" s="96"/>
      <c r="D58" s="96"/>
      <c r="E58" s="96"/>
      <c r="F58" s="96"/>
      <c r="G58" s="96"/>
      <c r="H58" s="7"/>
      <c r="I58" s="7"/>
      <c r="J58" s="7"/>
      <c r="K58" s="7"/>
      <c r="L58" s="96"/>
      <c r="M58" s="96"/>
      <c r="N58" s="96"/>
    </row>
    <row r="59" spans="1:14">
      <c r="A59" s="96"/>
      <c r="B59" s="96"/>
      <c r="C59" s="96"/>
      <c r="D59" s="96"/>
      <c r="E59" s="96"/>
      <c r="F59" s="96"/>
      <c r="G59" s="96"/>
      <c r="H59" s="7"/>
      <c r="I59" s="7"/>
      <c r="J59" s="7"/>
      <c r="K59" s="7"/>
      <c r="L59" s="96"/>
      <c r="M59" s="96"/>
      <c r="N59" s="96"/>
    </row>
    <row r="60" spans="1:14">
      <c r="A60" s="96" t="s">
        <v>231</v>
      </c>
      <c r="B60" s="96"/>
      <c r="C60" s="96"/>
      <c r="D60" s="96"/>
      <c r="E60" s="96"/>
      <c r="F60" s="96"/>
      <c r="G60" s="96"/>
      <c r="H60" s="7"/>
      <c r="I60" s="7"/>
      <c r="J60" s="7"/>
      <c r="K60" s="7"/>
      <c r="L60" s="96"/>
      <c r="M60" s="96"/>
      <c r="N60" s="96"/>
    </row>
    <row r="61" spans="1:14">
      <c r="A61" s="96" t="s">
        <v>232</v>
      </c>
      <c r="B61" s="96"/>
      <c r="C61" s="96"/>
      <c r="D61" s="96"/>
      <c r="E61" s="90">
        <v>0.7</v>
      </c>
      <c r="F61" s="96"/>
      <c r="G61" s="292" t="s">
        <v>491</v>
      </c>
      <c r="H61" s="7"/>
      <c r="I61" s="7"/>
      <c r="J61" s="7"/>
      <c r="K61" s="7"/>
      <c r="L61" s="96"/>
      <c r="M61" s="96"/>
      <c r="N61" s="96"/>
    </row>
    <row r="62" spans="1:14">
      <c r="A62" s="96"/>
      <c r="B62" s="96"/>
      <c r="C62" s="96"/>
      <c r="D62" s="96"/>
      <c r="E62" s="292" t="s">
        <v>2</v>
      </c>
      <c r="F62" s="96"/>
      <c r="G62" s="292" t="s">
        <v>490</v>
      </c>
      <c r="H62" s="7"/>
      <c r="I62" s="7"/>
      <c r="J62" s="7"/>
      <c r="K62" s="7"/>
      <c r="L62" s="96"/>
      <c r="M62" s="96"/>
      <c r="N62" s="96"/>
    </row>
    <row r="63" spans="1:14">
      <c r="A63" s="292" t="s">
        <v>492</v>
      </c>
      <c r="B63" s="96"/>
      <c r="C63" s="96"/>
      <c r="D63" s="96"/>
      <c r="E63" s="96"/>
      <c r="F63" s="96"/>
      <c r="G63" s="96"/>
      <c r="H63" s="7"/>
      <c r="I63" s="7"/>
      <c r="J63" s="7"/>
      <c r="K63" s="7"/>
      <c r="L63" s="96"/>
      <c r="M63" s="96"/>
      <c r="N63" s="96"/>
    </row>
    <row r="64" spans="1:14">
      <c r="A64" s="96"/>
      <c r="B64" s="96"/>
      <c r="C64" s="96"/>
      <c r="D64" s="96"/>
      <c r="E64" s="96"/>
      <c r="F64" s="96"/>
      <c r="G64" s="96"/>
      <c r="H64" s="7"/>
      <c r="I64" s="7"/>
      <c r="J64" s="7"/>
      <c r="K64" s="7"/>
      <c r="L64" s="96"/>
      <c r="M64" s="96"/>
      <c r="N64" s="96"/>
    </row>
    <row r="65" spans="1:14">
      <c r="A65" s="96"/>
      <c r="B65" s="96" t="s">
        <v>467</v>
      </c>
      <c r="C65" s="96"/>
      <c r="D65" s="96"/>
      <c r="E65" s="90">
        <v>12</v>
      </c>
      <c r="F65" s="96" t="s">
        <v>469</v>
      </c>
      <c r="G65" s="292" t="s">
        <v>507</v>
      </c>
      <c r="H65" s="7"/>
      <c r="I65" s="7"/>
      <c r="J65" s="7"/>
      <c r="K65" s="7"/>
      <c r="L65" s="96"/>
      <c r="M65" s="96"/>
      <c r="N65" s="96"/>
    </row>
    <row r="66" spans="1:14">
      <c r="A66" s="96"/>
      <c r="B66" s="96" t="s">
        <v>468</v>
      </c>
      <c r="C66" s="96"/>
      <c r="D66" s="96"/>
      <c r="E66" s="90">
        <v>6</v>
      </c>
      <c r="F66" s="96" t="s">
        <v>469</v>
      </c>
      <c r="G66" s="96"/>
      <c r="H66" s="7"/>
      <c r="I66" s="7"/>
      <c r="J66" s="7"/>
      <c r="K66" s="7"/>
      <c r="L66" s="96"/>
      <c r="M66" s="96"/>
      <c r="N66" s="96"/>
    </row>
    <row r="67" spans="1:14">
      <c r="A67" s="96"/>
      <c r="B67" s="96" t="s">
        <v>233</v>
      </c>
      <c r="C67" s="96"/>
      <c r="D67" s="96"/>
      <c r="E67" s="96">
        <f>+E65/E66</f>
        <v>2</v>
      </c>
      <c r="F67" s="96" t="s">
        <v>2</v>
      </c>
      <c r="G67" s="96"/>
      <c r="H67" s="7"/>
      <c r="I67" s="7"/>
      <c r="J67" s="7"/>
      <c r="K67" s="7"/>
      <c r="L67" s="96"/>
      <c r="M67" s="96"/>
      <c r="N67" s="96"/>
    </row>
    <row r="68" spans="1:14">
      <c r="A68" s="96"/>
      <c r="B68" s="96" t="s">
        <v>234</v>
      </c>
      <c r="C68" s="96"/>
      <c r="D68" s="96"/>
      <c r="E68" s="96">
        <f>IF(E67&lt;=6,0.0304+0.1689*E67,0.0304+0.1689*6)</f>
        <v>0.36819999999999997</v>
      </c>
      <c r="F68" s="96" t="s">
        <v>2</v>
      </c>
      <c r="G68" s="96"/>
      <c r="H68" s="7"/>
      <c r="I68" s="7"/>
      <c r="J68" s="7"/>
      <c r="K68" s="7"/>
      <c r="L68" s="96"/>
      <c r="M68" s="96"/>
      <c r="N68" s="96"/>
    </row>
    <row r="69" spans="1:14">
      <c r="A69" s="96"/>
      <c r="B69" s="96" t="s">
        <v>235</v>
      </c>
      <c r="C69" s="96"/>
      <c r="D69" s="96"/>
      <c r="E69" s="96">
        <f>IF(E67&lt;=6,0.0421+0.2264*E67,0.0421+0.2264*6)</f>
        <v>0.49490000000000001</v>
      </c>
      <c r="F69" s="96"/>
      <c r="G69" s="96"/>
      <c r="H69" s="7"/>
      <c r="I69" s="7"/>
      <c r="J69" s="7"/>
      <c r="K69" s="7"/>
      <c r="L69" s="96"/>
      <c r="M69" s="96"/>
      <c r="N69" s="96"/>
    </row>
    <row r="70" spans="1:14">
      <c r="A70" s="96"/>
      <c r="B70" s="96"/>
      <c r="C70" s="96"/>
      <c r="D70" s="96"/>
      <c r="E70" s="96"/>
      <c r="F70" s="96"/>
      <c r="G70" s="96"/>
      <c r="H70" s="7"/>
      <c r="I70" s="7"/>
      <c r="J70" s="7"/>
      <c r="K70" s="7"/>
      <c r="L70" s="96"/>
      <c r="M70" s="96"/>
      <c r="N70" s="96"/>
    </row>
    <row r="71" spans="1:14">
      <c r="A71" s="96" t="s">
        <v>236</v>
      </c>
      <c r="B71" s="96"/>
      <c r="C71" s="96"/>
      <c r="D71" s="96"/>
      <c r="E71" s="96"/>
      <c r="F71" s="96"/>
      <c r="G71" s="96"/>
      <c r="H71" s="7"/>
      <c r="I71" s="7"/>
      <c r="J71" s="7"/>
      <c r="K71" s="7"/>
      <c r="L71" s="96"/>
      <c r="M71" s="96"/>
      <c r="N71" s="96"/>
    </row>
    <row r="72" spans="1:14">
      <c r="A72" s="96"/>
      <c r="B72" s="96" t="s">
        <v>237</v>
      </c>
      <c r="C72" s="96"/>
      <c r="D72" s="96"/>
      <c r="E72" s="96">
        <f>+E68*E61</f>
        <v>0.25773999999999997</v>
      </c>
      <c r="F72" s="96"/>
      <c r="G72" s="96"/>
      <c r="H72" s="7"/>
      <c r="I72" s="7"/>
      <c r="J72" s="7"/>
      <c r="K72" s="7"/>
      <c r="L72" s="96"/>
      <c r="M72" s="96"/>
      <c r="N72" s="96"/>
    </row>
    <row r="73" spans="1:14">
      <c r="A73" s="96"/>
      <c r="B73" s="96" t="s">
        <v>238</v>
      </c>
      <c r="C73" s="96"/>
      <c r="D73" s="96"/>
      <c r="E73" s="96">
        <f>+E69*E61</f>
        <v>0.34642999999999996</v>
      </c>
      <c r="F73" s="96"/>
      <c r="G73" s="96"/>
      <c r="H73" s="7"/>
      <c r="I73" s="7"/>
      <c r="J73" s="7"/>
      <c r="K73" s="7"/>
      <c r="L73" s="96"/>
      <c r="M73" s="96"/>
      <c r="N73" s="96"/>
    </row>
    <row r="74" spans="1:14">
      <c r="A74" s="96"/>
      <c r="B74" s="96"/>
      <c r="C74" s="96"/>
      <c r="D74" s="96"/>
      <c r="E74" s="96"/>
      <c r="F74" s="96"/>
      <c r="G74" s="96"/>
      <c r="H74" s="7"/>
      <c r="I74" s="7"/>
      <c r="J74" s="7"/>
      <c r="K74" s="7"/>
      <c r="L74" s="96"/>
      <c r="M74" s="96"/>
      <c r="N74" s="96"/>
    </row>
    <row r="75" spans="1:14">
      <c r="A75" s="96" t="s">
        <v>239</v>
      </c>
      <c r="B75" s="96"/>
      <c r="C75" s="96"/>
      <c r="D75" s="96"/>
      <c r="E75" s="96"/>
      <c r="F75" s="127"/>
      <c r="G75" s="127"/>
      <c r="H75" s="7"/>
      <c r="I75" s="7"/>
      <c r="J75" s="7"/>
      <c r="K75" s="7"/>
      <c r="L75" s="96"/>
      <c r="M75" s="96"/>
      <c r="N75" s="96"/>
    </row>
    <row r="76" spans="1:14">
      <c r="A76" s="96"/>
      <c r="B76" s="96"/>
      <c r="C76" s="96"/>
      <c r="D76" s="96" t="s">
        <v>470</v>
      </c>
      <c r="E76" s="96"/>
      <c r="F76" s="291" t="s">
        <v>493</v>
      </c>
      <c r="G76" s="291" t="s">
        <v>494</v>
      </c>
      <c r="H76" s="7"/>
      <c r="I76" s="7"/>
      <c r="J76" s="7"/>
      <c r="K76" s="7"/>
      <c r="L76" s="96"/>
      <c r="M76" s="96"/>
      <c r="N76" s="96"/>
    </row>
    <row r="77" spans="1:14">
      <c r="A77" s="96"/>
      <c r="B77" s="96"/>
      <c r="C77" s="96"/>
      <c r="D77" s="96"/>
      <c r="E77" s="96"/>
      <c r="F77" s="127"/>
      <c r="G77" s="127"/>
      <c r="H77" s="7"/>
      <c r="I77" s="7"/>
      <c r="J77" s="7"/>
      <c r="K77" s="7"/>
      <c r="L77" s="96"/>
      <c r="M77" s="96"/>
      <c r="N77" s="96"/>
    </row>
    <row r="78" spans="1:14">
      <c r="A78" s="96"/>
      <c r="B78" s="96" t="s">
        <v>240</v>
      </c>
      <c r="C78" s="96"/>
      <c r="D78" s="96"/>
      <c r="E78" s="96"/>
      <c r="F78" s="127">
        <v>1.3</v>
      </c>
      <c r="G78" s="127">
        <v>0.98</v>
      </c>
      <c r="H78" s="7"/>
      <c r="I78" s="7"/>
      <c r="J78" s="7"/>
      <c r="K78" s="7"/>
      <c r="L78" s="96"/>
      <c r="M78" s="96"/>
      <c r="N78" s="96"/>
    </row>
    <row r="79" spans="1:14">
      <c r="A79" s="96"/>
      <c r="B79" s="96" t="s">
        <v>241</v>
      </c>
      <c r="C79" s="96"/>
      <c r="D79" s="96"/>
      <c r="E79" s="96"/>
      <c r="F79" s="127">
        <v>1</v>
      </c>
      <c r="G79" s="127">
        <v>0.75</v>
      </c>
      <c r="H79" s="7"/>
      <c r="I79" s="7"/>
      <c r="J79" s="7"/>
      <c r="K79" s="7"/>
      <c r="L79" s="96"/>
      <c r="M79" s="96"/>
      <c r="N79" s="96"/>
    </row>
    <row r="80" spans="1:14">
      <c r="A80" s="96"/>
      <c r="B80" s="96" t="s">
        <v>242</v>
      </c>
      <c r="C80" s="96"/>
      <c r="D80" s="96"/>
      <c r="E80" s="96"/>
      <c r="F80" s="127">
        <v>0.85</v>
      </c>
      <c r="G80" s="127">
        <v>0.64</v>
      </c>
      <c r="H80" s="7"/>
      <c r="I80" s="7"/>
      <c r="J80" s="7"/>
      <c r="K80" s="7"/>
      <c r="L80" s="96"/>
      <c r="M80" s="96"/>
      <c r="N80" s="96"/>
    </row>
    <row r="81" spans="1:14">
      <c r="A81" s="96"/>
      <c r="B81" s="96" t="s">
        <v>243</v>
      </c>
      <c r="C81" s="96"/>
      <c r="D81" s="96"/>
      <c r="E81" s="96"/>
      <c r="F81" s="127">
        <v>0.67</v>
      </c>
      <c r="G81" s="127">
        <v>0.5</v>
      </c>
      <c r="H81" s="7"/>
      <c r="I81" s="7"/>
      <c r="J81" s="7"/>
      <c r="K81" s="7"/>
      <c r="L81" s="96"/>
      <c r="M81" s="96"/>
      <c r="N81" s="96"/>
    </row>
    <row r="82" spans="1:14">
      <c r="A82" s="96"/>
      <c r="B82" s="96" t="s">
        <v>244</v>
      </c>
      <c r="C82" s="96"/>
      <c r="D82" s="96"/>
      <c r="E82" s="96"/>
      <c r="F82" s="127">
        <v>0.47</v>
      </c>
      <c r="G82" s="127">
        <v>0.35</v>
      </c>
      <c r="H82" s="7"/>
      <c r="I82" s="7"/>
      <c r="J82" s="7"/>
      <c r="K82" s="7"/>
      <c r="L82" s="96"/>
      <c r="M82" s="96"/>
      <c r="N82" s="96"/>
    </row>
    <row r="83" spans="1:14">
      <c r="A83" s="96"/>
      <c r="B83" s="96"/>
      <c r="C83" s="96"/>
      <c r="D83" s="96"/>
      <c r="E83" s="96"/>
      <c r="F83" s="96"/>
      <c r="G83" s="96"/>
      <c r="H83" s="7"/>
      <c r="I83" s="7"/>
      <c r="J83" s="7"/>
      <c r="K83" s="7"/>
      <c r="L83" s="96"/>
      <c r="M83" s="96"/>
      <c r="N83" s="96"/>
    </row>
    <row r="84" spans="1:14">
      <c r="A84" s="96"/>
      <c r="B84" s="96" t="s">
        <v>245</v>
      </c>
      <c r="C84" s="96" t="s">
        <v>2</v>
      </c>
      <c r="D84" s="90">
        <v>0.64</v>
      </c>
      <c r="E84" s="96"/>
      <c r="F84" s="96"/>
      <c r="G84" s="96"/>
      <c r="H84" s="7"/>
      <c r="I84" s="7"/>
      <c r="J84" s="7"/>
      <c r="K84" s="7"/>
      <c r="L84" s="96"/>
      <c r="M84" s="96"/>
      <c r="N84" s="96"/>
    </row>
    <row r="85" spans="1:14">
      <c r="A85" s="96"/>
      <c r="B85" s="96"/>
      <c r="C85" s="96"/>
      <c r="D85" s="96"/>
      <c r="E85" s="96"/>
      <c r="F85" s="96"/>
      <c r="G85" s="96"/>
      <c r="H85" s="7"/>
      <c r="I85" s="7"/>
      <c r="J85" s="7"/>
      <c r="K85" s="7"/>
      <c r="L85" s="96"/>
      <c r="M85" s="96"/>
      <c r="N85" s="96"/>
    </row>
    <row r="86" spans="1:14">
      <c r="A86" s="96" t="s">
        <v>246</v>
      </c>
      <c r="B86" s="96"/>
      <c r="C86" s="96"/>
      <c r="D86" s="96"/>
      <c r="E86" s="96"/>
      <c r="F86" s="96"/>
      <c r="G86" s="96"/>
      <c r="H86" s="7"/>
      <c r="I86" s="7"/>
      <c r="J86" s="7"/>
      <c r="K86" s="7"/>
      <c r="L86" s="96"/>
      <c r="M86" s="96"/>
      <c r="N86" s="96"/>
    </row>
    <row r="87" spans="1:14">
      <c r="A87" s="96"/>
      <c r="B87" s="96"/>
      <c r="C87" s="96"/>
      <c r="D87" s="96">
        <f>+E37*D84*1000</f>
        <v>5760</v>
      </c>
      <c r="E87" s="96" t="s">
        <v>256</v>
      </c>
      <c r="F87" s="96"/>
      <c r="G87" s="96"/>
      <c r="H87" s="7"/>
      <c r="I87" s="7"/>
      <c r="J87" s="7"/>
      <c r="K87" s="7"/>
      <c r="L87" s="96"/>
      <c r="M87" s="96"/>
      <c r="N87" s="96"/>
    </row>
    <row r="88" spans="1:14">
      <c r="A88" s="96"/>
      <c r="B88" s="96"/>
      <c r="C88" s="96"/>
      <c r="D88" s="96"/>
      <c r="E88" s="96"/>
      <c r="F88" s="96"/>
      <c r="G88" s="96"/>
      <c r="H88" s="7"/>
      <c r="I88" s="7"/>
      <c r="J88" s="7"/>
      <c r="K88" s="7"/>
      <c r="L88" s="96"/>
      <c r="M88" s="96"/>
      <c r="N88" s="96"/>
    </row>
    <row r="89" spans="1:14">
      <c r="A89" s="96" t="s">
        <v>247</v>
      </c>
      <c r="B89" s="96"/>
      <c r="C89" s="96"/>
      <c r="D89" s="96"/>
      <c r="E89" s="96"/>
      <c r="F89" s="96"/>
      <c r="G89" s="96"/>
      <c r="H89" s="7"/>
      <c r="I89" s="7"/>
      <c r="J89" s="7"/>
      <c r="K89" s="7"/>
      <c r="L89" s="96"/>
      <c r="M89" s="96"/>
      <c r="N89" s="96"/>
    </row>
    <row r="90" spans="1:14">
      <c r="A90" s="96"/>
      <c r="B90" s="96"/>
      <c r="C90" s="96"/>
      <c r="D90" s="96"/>
      <c r="E90" s="96"/>
      <c r="F90" s="96"/>
      <c r="G90" s="96"/>
      <c r="H90" s="7"/>
      <c r="I90" s="7"/>
      <c r="J90" s="7"/>
      <c r="K90" s="7"/>
      <c r="L90" s="96"/>
      <c r="M90" s="96"/>
      <c r="N90" s="96"/>
    </row>
    <row r="91" spans="1:14">
      <c r="A91" s="96" t="s">
        <v>248</v>
      </c>
      <c r="B91" s="96"/>
      <c r="C91" s="96"/>
      <c r="D91" s="98">
        <f>1.56*$E$35/($D$87*SQRT(E72))</f>
        <v>2.7943235887066247</v>
      </c>
      <c r="E91" s="96" t="s">
        <v>27</v>
      </c>
      <c r="F91" s="96"/>
      <c r="G91" s="96"/>
      <c r="H91" s="7"/>
      <c r="I91" s="7"/>
      <c r="J91" s="7"/>
      <c r="K91" s="7"/>
      <c r="L91" s="96"/>
      <c r="M91" s="96"/>
      <c r="N91" s="96"/>
    </row>
    <row r="92" spans="1:14">
      <c r="A92" s="292" t="s">
        <v>573</v>
      </c>
      <c r="B92" s="96"/>
      <c r="C92" s="96"/>
      <c r="D92" s="98">
        <f>1.56*$E$35/($D$87*SQRT(E73))</f>
        <v>2.4102376271539674</v>
      </c>
      <c r="E92" s="96" t="s">
        <v>27</v>
      </c>
      <c r="F92" s="96"/>
      <c r="G92" s="96"/>
      <c r="H92" s="7"/>
      <c r="I92" s="7"/>
      <c r="J92" s="7"/>
      <c r="K92" s="7"/>
      <c r="L92" s="96"/>
      <c r="M92" s="96"/>
      <c r="N92" s="96"/>
    </row>
    <row r="93" spans="1:14" ht="13.5" thickBot="1">
      <c r="A93" s="96"/>
      <c r="B93" s="96"/>
      <c r="C93" s="96"/>
      <c r="D93" s="98"/>
      <c r="E93" s="96"/>
      <c r="F93" s="96"/>
      <c r="G93" s="96"/>
      <c r="H93" s="7"/>
      <c r="I93" s="7"/>
      <c r="J93" s="7"/>
      <c r="K93" s="7"/>
      <c r="L93" s="96"/>
      <c r="M93" s="96"/>
      <c r="N93" s="96"/>
    </row>
    <row r="94" spans="1:14">
      <c r="A94" s="270" t="s">
        <v>497</v>
      </c>
      <c r="B94" s="263"/>
      <c r="C94" s="263"/>
      <c r="D94" s="271"/>
      <c r="E94" s="264"/>
      <c r="F94" s="96"/>
      <c r="G94" s="96"/>
      <c r="H94" s="7"/>
      <c r="I94" s="7"/>
      <c r="J94" s="7"/>
      <c r="K94" s="7"/>
      <c r="L94" s="96"/>
      <c r="M94" s="96"/>
      <c r="N94" s="96"/>
    </row>
    <row r="95" spans="1:14">
      <c r="A95" s="265" t="s">
        <v>248</v>
      </c>
      <c r="B95" s="104"/>
      <c r="C95" s="104"/>
      <c r="D95" s="352">
        <f>+D91*1.41</f>
        <v>3.9399962600763407</v>
      </c>
      <c r="E95" s="266" t="s">
        <v>27</v>
      </c>
      <c r="F95" s="96"/>
      <c r="G95" s="96"/>
      <c r="H95" s="7"/>
      <c r="I95" s="7"/>
      <c r="J95" s="7"/>
      <c r="K95" s="7"/>
      <c r="L95" s="96"/>
      <c r="M95" s="96"/>
      <c r="N95" s="96"/>
    </row>
    <row r="96" spans="1:14" ht="13.5" thickBot="1">
      <c r="A96" s="367" t="s">
        <v>573</v>
      </c>
      <c r="B96" s="274"/>
      <c r="C96" s="274"/>
      <c r="D96" s="353">
        <f>+D92*1.41</f>
        <v>3.398435054287094</v>
      </c>
      <c r="E96" s="269" t="s">
        <v>27</v>
      </c>
      <c r="F96" s="96"/>
      <c r="G96" s="96"/>
      <c r="H96" s="7"/>
      <c r="I96" s="7"/>
      <c r="J96" s="7"/>
      <c r="K96" s="7"/>
      <c r="L96" s="96"/>
      <c r="M96" s="96"/>
      <c r="N96" s="96"/>
    </row>
    <row r="97" spans="1:14">
      <c r="A97" s="96"/>
      <c r="B97" s="96"/>
      <c r="C97" s="96"/>
      <c r="D97" s="98"/>
      <c r="E97" s="96"/>
      <c r="F97" s="96"/>
      <c r="G97" s="96"/>
      <c r="H97" s="7"/>
      <c r="I97" s="7"/>
      <c r="J97" s="7"/>
      <c r="K97" s="7"/>
      <c r="L97" s="96"/>
      <c r="M97" s="96"/>
      <c r="N97" s="96"/>
    </row>
    <row r="98" spans="1:14">
      <c r="A98" s="292" t="s">
        <v>498</v>
      </c>
      <c r="B98" s="96"/>
      <c r="C98" s="96"/>
      <c r="D98" s="98"/>
      <c r="E98" s="96"/>
      <c r="F98" s="96"/>
      <c r="G98" s="96"/>
      <c r="H98" s="7"/>
      <c r="I98" s="7"/>
      <c r="J98" s="7"/>
      <c r="K98" s="7"/>
      <c r="L98" s="96"/>
      <c r="M98" s="96"/>
      <c r="N98" s="96"/>
    </row>
    <row r="99" spans="1:14">
      <c r="A99" s="292" t="s">
        <v>499</v>
      </c>
      <c r="B99" s="96"/>
      <c r="C99" s="96"/>
      <c r="D99" s="98"/>
      <c r="E99" s="96"/>
      <c r="F99" s="96"/>
      <c r="G99" s="96"/>
      <c r="H99" s="7"/>
      <c r="I99" s="7"/>
      <c r="J99" s="7"/>
      <c r="K99" s="7"/>
      <c r="L99" s="96"/>
      <c r="M99" s="96"/>
      <c r="N99" s="96"/>
    </row>
    <row r="100" spans="1:14">
      <c r="A100" s="292" t="s">
        <v>500</v>
      </c>
      <c r="B100" s="96"/>
      <c r="C100" s="96"/>
      <c r="D100" s="98"/>
      <c r="E100" s="96"/>
      <c r="F100" s="96"/>
      <c r="G100" s="96"/>
      <c r="H100" s="7"/>
      <c r="I100" s="7"/>
      <c r="J100" s="7"/>
      <c r="K100" s="7"/>
      <c r="L100" s="96"/>
      <c r="M100" s="96"/>
      <c r="N100" s="96"/>
    </row>
    <row r="101" spans="1:14">
      <c r="A101" s="96"/>
      <c r="B101" s="96"/>
      <c r="C101" s="96"/>
      <c r="D101" s="98"/>
      <c r="E101" s="96"/>
      <c r="F101" s="96"/>
      <c r="G101" s="96"/>
      <c r="H101" s="7"/>
      <c r="I101" s="7"/>
      <c r="J101" s="7"/>
      <c r="K101" s="7"/>
      <c r="L101" s="96"/>
      <c r="M101" s="96"/>
      <c r="N101" s="96"/>
    </row>
    <row r="102" spans="1:14">
      <c r="A102" s="292" t="s">
        <v>501</v>
      </c>
      <c r="B102" s="96"/>
      <c r="C102" s="96"/>
      <c r="D102" s="98"/>
      <c r="E102" s="96"/>
      <c r="F102" s="96"/>
      <c r="G102" s="96"/>
      <c r="H102" s="7"/>
      <c r="I102" s="7"/>
      <c r="J102" s="7"/>
      <c r="K102" s="7"/>
      <c r="L102" s="96"/>
      <c r="M102" s="96"/>
      <c r="N102" s="96"/>
    </row>
    <row r="103" spans="1:14">
      <c r="A103" s="96" t="s">
        <v>248</v>
      </c>
      <c r="B103" s="96"/>
      <c r="C103" s="96"/>
      <c r="D103" s="98">
        <f>+D95*2</f>
        <v>7.8799925201526815</v>
      </c>
      <c r="E103" s="96" t="s">
        <v>27</v>
      </c>
      <c r="F103" s="96"/>
      <c r="G103" s="96"/>
      <c r="H103" s="7"/>
      <c r="I103" s="7"/>
      <c r="J103" s="7"/>
      <c r="K103" s="7"/>
      <c r="L103" s="96"/>
      <c r="M103" s="96"/>
      <c r="N103" s="96"/>
    </row>
    <row r="104" spans="1:14">
      <c r="A104" s="292" t="s">
        <v>573</v>
      </c>
      <c r="B104" s="96"/>
      <c r="C104" s="96"/>
      <c r="D104" s="98">
        <f>+D96*2</f>
        <v>6.7968701085741881</v>
      </c>
      <c r="E104" s="96" t="s">
        <v>27</v>
      </c>
      <c r="F104" s="96"/>
      <c r="G104" s="96"/>
      <c r="H104" s="7"/>
      <c r="I104" s="7"/>
      <c r="J104" s="7"/>
      <c r="K104" s="7"/>
      <c r="L104" s="96"/>
      <c r="M104" s="96"/>
      <c r="N104" s="96"/>
    </row>
    <row r="105" spans="1:14">
      <c r="A105" s="96"/>
      <c r="B105" s="96"/>
      <c r="C105" s="96"/>
      <c r="D105" s="96"/>
      <c r="E105" s="96"/>
      <c r="F105" s="96"/>
      <c r="G105" s="96"/>
      <c r="H105" s="7"/>
      <c r="I105" s="7"/>
      <c r="J105" s="7"/>
      <c r="K105" s="7"/>
      <c r="L105" s="96"/>
      <c r="M105" s="96"/>
      <c r="N105" s="96"/>
    </row>
    <row r="106" spans="1:14">
      <c r="A106" s="96" t="s">
        <v>322</v>
      </c>
      <c r="B106" s="96"/>
      <c r="C106" s="96"/>
      <c r="D106" s="96"/>
      <c r="E106" s="96"/>
      <c r="F106" s="96"/>
      <c r="G106" s="96"/>
      <c r="H106" s="7"/>
      <c r="I106" s="7"/>
      <c r="J106" s="7"/>
      <c r="K106" s="7"/>
      <c r="L106" s="96"/>
      <c r="M106" s="96"/>
      <c r="N106" s="96"/>
    </row>
    <row r="107" spans="1:14">
      <c r="A107" s="96" t="s">
        <v>323</v>
      </c>
      <c r="B107" s="96"/>
      <c r="C107" s="96"/>
      <c r="D107" s="96"/>
      <c r="E107" s="96"/>
      <c r="F107" s="96"/>
      <c r="G107" s="96"/>
      <c r="H107" s="7"/>
      <c r="I107" s="7"/>
      <c r="J107" s="7"/>
      <c r="K107" s="7"/>
      <c r="L107" s="96"/>
      <c r="M107" s="96"/>
      <c r="N107" s="96"/>
    </row>
    <row r="108" spans="1:14">
      <c r="A108" s="96"/>
      <c r="B108" s="96"/>
      <c r="C108" s="96"/>
      <c r="D108" s="96"/>
      <c r="E108" s="96"/>
      <c r="F108" s="96"/>
      <c r="G108" s="96"/>
      <c r="H108" s="7"/>
      <c r="I108" s="7"/>
      <c r="J108" s="7"/>
      <c r="K108" s="7"/>
      <c r="L108" s="96"/>
      <c r="M108" s="96"/>
      <c r="N108" s="96"/>
    </row>
    <row r="109" spans="1:14">
      <c r="A109" s="96" t="s">
        <v>249</v>
      </c>
      <c r="B109" s="96"/>
      <c r="C109" s="96"/>
      <c r="D109" s="96"/>
      <c r="E109" s="96"/>
      <c r="F109" s="96"/>
      <c r="G109" s="96"/>
      <c r="H109" s="7"/>
      <c r="I109" s="7"/>
      <c r="J109" s="7"/>
      <c r="K109" s="7"/>
      <c r="L109" s="96"/>
      <c r="M109" s="96"/>
      <c r="N109" s="96"/>
    </row>
    <row r="110" spans="1:14">
      <c r="A110" s="96"/>
      <c r="B110" s="96"/>
      <c r="C110" s="96"/>
      <c r="D110" s="96"/>
      <c r="E110" s="96"/>
      <c r="F110" s="96"/>
      <c r="G110" s="96"/>
      <c r="H110" s="7"/>
      <c r="I110" s="7"/>
      <c r="J110" s="7"/>
      <c r="K110" s="7"/>
      <c r="L110" s="96"/>
      <c r="M110" s="96"/>
      <c r="N110" s="96"/>
    </row>
    <row r="111" spans="1:14">
      <c r="A111" s="96" t="s">
        <v>250</v>
      </c>
      <c r="B111" s="96"/>
      <c r="C111" s="96"/>
      <c r="D111" s="96"/>
      <c r="E111" s="96"/>
      <c r="F111" s="96"/>
      <c r="G111" s="96"/>
      <c r="H111" s="7"/>
      <c r="I111" s="7"/>
      <c r="J111" s="7"/>
      <c r="K111" s="7"/>
      <c r="L111" s="96"/>
      <c r="M111" s="96"/>
      <c r="N111" s="96"/>
    </row>
    <row r="112" spans="1:14">
      <c r="A112" s="96"/>
      <c r="B112" s="96"/>
      <c r="C112" s="96"/>
      <c r="D112" s="96"/>
      <c r="E112" s="96"/>
      <c r="F112" s="96"/>
      <c r="G112" s="96"/>
      <c r="H112" s="7"/>
      <c r="I112" s="7"/>
      <c r="J112" s="7"/>
      <c r="K112" s="7"/>
      <c r="L112" s="96"/>
      <c r="M112" s="96"/>
      <c r="N112" s="96"/>
    </row>
    <row r="113" spans="1:14">
      <c r="A113" s="96" t="s">
        <v>251</v>
      </c>
      <c r="B113" s="96"/>
      <c r="C113" s="96">
        <v>1</v>
      </c>
      <c r="D113" s="96"/>
      <c r="E113" s="96"/>
      <c r="F113" s="96"/>
      <c r="G113" s="96"/>
      <c r="H113" s="7"/>
      <c r="I113" s="7"/>
      <c r="J113" s="7"/>
      <c r="K113" s="7"/>
      <c r="L113" s="96"/>
      <c r="M113" s="96"/>
      <c r="N113" s="96"/>
    </row>
    <row r="114" spans="1:14">
      <c r="A114" s="96" t="s">
        <v>252</v>
      </c>
      <c r="B114" s="96"/>
      <c r="C114" s="96">
        <v>0.8</v>
      </c>
      <c r="D114" s="96"/>
      <c r="E114" s="96"/>
      <c r="F114" s="96"/>
      <c r="G114" s="96"/>
      <c r="H114" s="7"/>
      <c r="I114" s="7"/>
      <c r="J114" s="7"/>
      <c r="K114" s="7"/>
      <c r="L114" s="96"/>
      <c r="M114" s="96"/>
      <c r="N114" s="96"/>
    </row>
    <row r="115" spans="1:14">
      <c r="A115" s="96" t="s">
        <v>253</v>
      </c>
      <c r="B115" s="96"/>
      <c r="C115" s="96">
        <v>0.6</v>
      </c>
      <c r="D115" s="96"/>
      <c r="E115" s="96"/>
      <c r="F115" s="96"/>
      <c r="G115" s="96"/>
      <c r="H115" s="7"/>
      <c r="I115" s="7"/>
      <c r="J115" s="7"/>
      <c r="K115" s="7"/>
      <c r="L115" s="96"/>
      <c r="M115" s="96"/>
      <c r="N115" s="96"/>
    </row>
    <row r="116" spans="1:14">
      <c r="A116" s="96"/>
      <c r="B116" s="96"/>
      <c r="C116" s="96"/>
      <c r="D116" s="96"/>
      <c r="E116" s="96"/>
      <c r="F116" s="96"/>
      <c r="G116" s="96"/>
      <c r="H116" s="7"/>
      <c r="I116" s="7"/>
      <c r="J116" s="7"/>
      <c r="K116" s="7"/>
      <c r="L116" s="96"/>
      <c r="M116" s="96"/>
      <c r="N116" s="96"/>
    </row>
    <row r="117" spans="1:14">
      <c r="A117" s="292" t="s">
        <v>506</v>
      </c>
      <c r="B117" s="96"/>
      <c r="C117" s="96"/>
      <c r="D117" s="96"/>
      <c r="E117" s="96"/>
      <c r="F117" s="96"/>
      <c r="G117" s="126" t="s">
        <v>2</v>
      </c>
      <c r="H117" s="126"/>
      <c r="I117" s="7"/>
      <c r="J117" s="7"/>
      <c r="K117" s="7"/>
      <c r="L117" s="96"/>
      <c r="M117" s="96"/>
      <c r="N117" s="96"/>
    </row>
    <row r="118" spans="1:14" ht="13.5" thickBot="1">
      <c r="A118" s="292"/>
      <c r="B118" s="96"/>
      <c r="C118" s="96"/>
      <c r="D118" s="96"/>
      <c r="E118" s="96"/>
      <c r="F118" s="96"/>
      <c r="G118" s="126"/>
      <c r="H118" s="126"/>
      <c r="I118" s="7"/>
      <c r="J118" s="7"/>
      <c r="K118" s="7"/>
      <c r="L118" s="96"/>
      <c r="M118" s="96"/>
      <c r="N118" s="96"/>
    </row>
    <row r="119" spans="1:14">
      <c r="A119" s="292"/>
      <c r="B119" s="96"/>
      <c r="C119" s="270" t="s">
        <v>503</v>
      </c>
      <c r="D119" s="264"/>
      <c r="E119" s="270" t="s">
        <v>504</v>
      </c>
      <c r="F119" s="300"/>
      <c r="G119" s="301" t="s">
        <v>505</v>
      </c>
      <c r="H119" s="28"/>
      <c r="I119" s="126"/>
      <c r="J119" s="7"/>
      <c r="K119" s="7"/>
      <c r="L119" s="96"/>
      <c r="M119" s="96"/>
      <c r="N119" s="96"/>
    </row>
    <row r="120" spans="1:14" ht="13.5" thickBot="1">
      <c r="A120" s="292"/>
      <c r="B120" s="96"/>
      <c r="C120" s="302" t="s">
        <v>108</v>
      </c>
      <c r="D120" s="303" t="s">
        <v>502</v>
      </c>
      <c r="E120" s="302" t="s">
        <v>108</v>
      </c>
      <c r="F120" s="303" t="s">
        <v>502</v>
      </c>
      <c r="G120" s="302" t="s">
        <v>108</v>
      </c>
      <c r="H120" s="303" t="s">
        <v>502</v>
      </c>
      <c r="I120" s="126"/>
      <c r="J120" s="7"/>
      <c r="K120" s="7"/>
      <c r="L120" s="96"/>
      <c r="M120" s="96"/>
      <c r="N120" s="96"/>
    </row>
    <row r="121" spans="1:14" ht="13.5" thickBot="1">
      <c r="A121" s="95"/>
      <c r="B121" s="304" t="s">
        <v>320</v>
      </c>
      <c r="C121" s="305">
        <f>+D95</f>
        <v>3.9399962600763407</v>
      </c>
      <c r="D121" s="306">
        <f>+D95/superficies!D18</f>
        <v>3.6105349462326151E-2</v>
      </c>
      <c r="E121" s="307">
        <f>+D103</f>
        <v>7.8799925201526815</v>
      </c>
      <c r="F121" s="306">
        <f>+D103/superficies!D18</f>
        <v>7.2210698924652303E-2</v>
      </c>
      <c r="G121" s="305">
        <f>+E121+C121</f>
        <v>11.819988780229021</v>
      </c>
      <c r="H121" s="308">
        <f>+F121+D121</f>
        <v>0.10831604838697845</v>
      </c>
      <c r="I121" s="7"/>
      <c r="J121" s="7"/>
      <c r="K121" s="7"/>
      <c r="L121" s="96"/>
      <c r="M121" s="96"/>
      <c r="N121" s="96"/>
    </row>
    <row r="122" spans="1:14" ht="13.5" thickBot="1">
      <c r="A122" s="96"/>
      <c r="B122" s="309" t="s">
        <v>321</v>
      </c>
      <c r="C122" s="310">
        <f>+D96</f>
        <v>3.398435054287094</v>
      </c>
      <c r="D122" s="311">
        <f>+D96/superficies!D18</f>
        <v>3.1142589271817591E-2</v>
      </c>
      <c r="E122" s="312">
        <f>+D104</f>
        <v>6.7968701085741881</v>
      </c>
      <c r="F122" s="311">
        <f>+D104/superficies!D18</f>
        <v>6.2285178543635182E-2</v>
      </c>
      <c r="G122" s="305">
        <f>+E122+C122</f>
        <v>10.195305162861281</v>
      </c>
      <c r="H122" s="313">
        <f>+F122+D122</f>
        <v>9.342776781545277E-2</v>
      </c>
      <c r="I122" s="7"/>
      <c r="J122" s="7"/>
      <c r="K122" s="7"/>
      <c r="L122" s="96"/>
      <c r="M122" s="96"/>
      <c r="N122" s="96"/>
    </row>
    <row r="123" spans="1:14">
      <c r="A123" s="96"/>
      <c r="B123" s="292" t="s">
        <v>508</v>
      </c>
      <c r="C123" s="96"/>
      <c r="D123" s="96"/>
      <c r="E123" s="96"/>
      <c r="F123" s="96"/>
      <c r="G123" s="7"/>
      <c r="H123" s="7"/>
      <c r="I123" s="7"/>
      <c r="J123" s="7"/>
      <c r="K123" s="7"/>
      <c r="L123" s="96"/>
      <c r="M123" s="96"/>
      <c r="N123" s="96"/>
    </row>
    <row r="124" spans="1:14">
      <c r="A124" s="96"/>
      <c r="B124" s="292" t="s">
        <v>509</v>
      </c>
      <c r="C124" s="96"/>
      <c r="D124" s="96"/>
      <c r="E124" s="96"/>
      <c r="F124" s="96"/>
      <c r="G124" s="96"/>
      <c r="H124" s="7"/>
      <c r="I124" s="7"/>
      <c r="J124" s="7"/>
      <c r="K124" s="7"/>
      <c r="L124" s="96"/>
      <c r="M124" s="96"/>
      <c r="N124" s="96"/>
    </row>
    <row r="125" spans="1:14">
      <c r="A125" s="96"/>
      <c r="B125" s="292"/>
      <c r="C125" s="96"/>
      <c r="D125" s="96"/>
      <c r="E125" s="96"/>
      <c r="F125" s="96"/>
      <c r="G125" s="96"/>
      <c r="H125" s="7"/>
      <c r="I125" s="7"/>
      <c r="J125" s="7"/>
      <c r="K125" s="7"/>
      <c r="L125" s="96"/>
      <c r="M125" s="96"/>
      <c r="N125" s="96"/>
    </row>
    <row r="126" spans="1:14">
      <c r="A126" s="96" t="s">
        <v>254</v>
      </c>
      <c r="B126" s="96"/>
      <c r="C126" s="96"/>
      <c r="D126" s="96"/>
      <c r="E126" s="96"/>
      <c r="F126" s="96"/>
      <c r="G126" s="96"/>
      <c r="H126" s="7"/>
      <c r="I126" s="7"/>
      <c r="J126" s="7"/>
      <c r="K126" s="7"/>
      <c r="L126" s="96"/>
      <c r="M126" s="96"/>
      <c r="N126" s="96"/>
    </row>
    <row r="127" spans="1:14">
      <c r="A127" s="96" t="s">
        <v>255</v>
      </c>
      <c r="B127" s="96"/>
      <c r="C127" s="96"/>
      <c r="D127" s="96"/>
      <c r="E127" s="96"/>
      <c r="F127" s="96"/>
      <c r="G127" s="96"/>
      <c r="H127" s="7"/>
      <c r="I127" s="7"/>
      <c r="J127" s="7"/>
      <c r="K127" s="7"/>
      <c r="L127" s="96"/>
      <c r="M127" s="96"/>
      <c r="N127" s="96"/>
    </row>
    <row r="128" spans="1:14" ht="13.5" thickBot="1">
      <c r="A128" s="7"/>
      <c r="B128" s="7"/>
      <c r="C128" s="7"/>
      <c r="D128" s="7"/>
      <c r="E128" s="7"/>
      <c r="F128" s="96"/>
      <c r="G128" s="96"/>
      <c r="H128" s="7"/>
      <c r="I128" s="7"/>
      <c r="J128" s="7"/>
      <c r="K128" s="7"/>
      <c r="L128" s="96"/>
      <c r="M128" s="96"/>
      <c r="N128" s="96"/>
    </row>
    <row r="129" spans="1:14">
      <c r="A129" s="470" t="s">
        <v>616</v>
      </c>
      <c r="B129" s="471"/>
      <c r="C129" s="471"/>
      <c r="D129" s="471"/>
      <c r="E129" s="471"/>
      <c r="F129" s="472"/>
      <c r="G129" s="472"/>
      <c r="H129" s="471"/>
      <c r="I129" s="471"/>
      <c r="J129" s="471"/>
      <c r="K129" s="476"/>
      <c r="L129" s="96"/>
      <c r="M129" s="96"/>
      <c r="N129" s="96"/>
    </row>
    <row r="130" spans="1:14" ht="13.5" thickBot="1">
      <c r="A130" s="473" t="s">
        <v>617</v>
      </c>
      <c r="B130" s="474"/>
      <c r="C130" s="475"/>
      <c r="D130" s="475"/>
      <c r="E130" s="475"/>
      <c r="F130" s="475"/>
      <c r="G130" s="475"/>
      <c r="H130" s="475"/>
      <c r="I130" s="475"/>
      <c r="J130" s="475"/>
      <c r="K130" s="477"/>
      <c r="L130" s="96"/>
      <c r="M130" s="96"/>
      <c r="N130" s="96"/>
    </row>
  </sheetData>
  <pageMargins left="0.7" right="0.7" top="0.75" bottom="0.75" header="0.3" footer="0.3"/>
  <pageSetup paperSize="9" orientation="portrait" horizontalDpi="0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/>
  <dimension ref="A1:Q45"/>
  <sheetViews>
    <sheetView workbookViewId="0">
      <selection activeCell="K13" sqref="K13"/>
    </sheetView>
  </sheetViews>
  <sheetFormatPr baseColWidth="10" defaultRowHeight="12.75"/>
  <cols>
    <col min="2" max="2" width="11.7109375" customWidth="1"/>
    <col min="3" max="3" width="13.85546875" customWidth="1"/>
    <col min="4" max="4" width="10.85546875" customWidth="1"/>
    <col min="5" max="5" width="11" customWidth="1"/>
    <col min="6" max="6" width="10" customWidth="1"/>
    <col min="7" max="7" width="11.7109375" customWidth="1"/>
    <col min="8" max="8" width="10.7109375" customWidth="1"/>
    <col min="9" max="9" width="13.42578125" customWidth="1"/>
    <col min="11" max="11" width="15.140625" customWidth="1"/>
  </cols>
  <sheetData>
    <row r="1" spans="1:17">
      <c r="A1" s="293"/>
      <c r="B1" s="417" t="s">
        <v>576</v>
      </c>
      <c r="C1" s="418"/>
      <c r="D1" s="418"/>
      <c r="E1" s="418"/>
      <c r="F1" s="418"/>
      <c r="G1" s="418"/>
      <c r="H1" s="418"/>
      <c r="I1" s="418"/>
      <c r="J1" s="418"/>
      <c r="K1" s="418"/>
      <c r="L1" s="418"/>
      <c r="M1" s="418"/>
      <c r="N1" s="418"/>
      <c r="O1" s="418"/>
      <c r="P1" s="418"/>
      <c r="Q1" s="418"/>
    </row>
    <row r="2" spans="1:17">
      <c r="A2" s="293"/>
      <c r="B2" s="418"/>
      <c r="C2" s="418"/>
      <c r="D2" s="418"/>
      <c r="E2" s="418"/>
      <c r="F2" s="418"/>
      <c r="G2" s="418"/>
      <c r="H2" s="418"/>
      <c r="I2" s="418"/>
      <c r="J2" s="418"/>
      <c r="K2" s="418"/>
      <c r="L2" s="418"/>
      <c r="M2" s="418"/>
      <c r="N2" s="418"/>
      <c r="O2" s="418"/>
      <c r="P2" s="418"/>
      <c r="Q2" s="418"/>
    </row>
    <row r="3" spans="1:17">
      <c r="A3" s="293"/>
      <c r="B3" s="419" t="s">
        <v>559</v>
      </c>
      <c r="C3" s="418"/>
      <c r="D3" s="418"/>
      <c r="E3" s="418"/>
      <c r="F3" s="418"/>
      <c r="G3" s="418"/>
      <c r="H3" s="418"/>
      <c r="I3" s="418"/>
      <c r="J3" s="418"/>
      <c r="K3" s="418"/>
      <c r="L3" s="418"/>
      <c r="M3" s="418"/>
      <c r="N3" s="418"/>
      <c r="O3" s="418"/>
      <c r="P3" s="418"/>
      <c r="Q3" s="418"/>
    </row>
    <row r="4" spans="1:17">
      <c r="A4" s="293"/>
      <c r="B4" s="419" t="s">
        <v>663</v>
      </c>
      <c r="C4" s="418"/>
      <c r="D4" s="418"/>
      <c r="E4" s="418"/>
      <c r="F4" s="418"/>
      <c r="G4" s="418"/>
      <c r="H4" s="418"/>
      <c r="I4" s="418"/>
      <c r="J4" s="418"/>
      <c r="K4" s="418"/>
      <c r="L4" s="418"/>
      <c r="M4" s="418"/>
      <c r="N4" s="418"/>
      <c r="O4" s="418"/>
      <c r="P4" s="418"/>
      <c r="Q4" s="418"/>
    </row>
    <row r="5" spans="1:17" ht="13.5" thickBot="1">
      <c r="A5" s="293"/>
      <c r="B5" s="419"/>
      <c r="C5" s="418"/>
      <c r="D5" s="418"/>
      <c r="E5" s="418"/>
      <c r="F5" s="418"/>
      <c r="G5" s="418"/>
      <c r="H5" s="418"/>
      <c r="I5" s="418"/>
      <c r="J5" s="418"/>
      <c r="K5" s="418"/>
      <c r="L5" s="418"/>
      <c r="M5" s="418"/>
      <c r="N5" s="418"/>
      <c r="O5" s="418"/>
      <c r="P5" s="418"/>
      <c r="Q5" s="418"/>
    </row>
    <row r="6" spans="1:17" ht="13.5" thickBot="1">
      <c r="A6" s="293"/>
      <c r="B6" s="661" t="s">
        <v>315</v>
      </c>
      <c r="C6" s="662"/>
      <c r="D6" s="662"/>
      <c r="E6" s="662"/>
      <c r="F6" s="662"/>
      <c r="G6" s="662"/>
      <c r="H6" s="662"/>
      <c r="I6" s="662"/>
      <c r="J6" s="662"/>
      <c r="K6" s="663"/>
      <c r="L6" s="418"/>
      <c r="M6" s="418"/>
      <c r="N6" s="418"/>
      <c r="O6" s="418"/>
      <c r="P6" s="418"/>
      <c r="Q6" s="418"/>
    </row>
    <row r="7" spans="1:17" ht="13.5" thickBot="1">
      <c r="A7" s="293"/>
      <c r="B7" s="607"/>
      <c r="C7" s="608" t="s">
        <v>2</v>
      </c>
      <c r="D7" s="609" t="s">
        <v>307</v>
      </c>
      <c r="E7" s="610" t="s">
        <v>308</v>
      </c>
      <c r="F7" s="610" t="s">
        <v>309</v>
      </c>
      <c r="G7" s="610" t="s">
        <v>310</v>
      </c>
      <c r="H7" s="610" t="s">
        <v>313</v>
      </c>
      <c r="I7" s="611" t="s">
        <v>311</v>
      </c>
      <c r="J7" s="612" t="s">
        <v>719</v>
      </c>
      <c r="K7" s="612" t="s">
        <v>720</v>
      </c>
      <c r="L7" s="418"/>
      <c r="M7" s="418"/>
      <c r="N7" s="418"/>
      <c r="O7" s="418"/>
      <c r="P7" s="418"/>
      <c r="Q7" s="418"/>
    </row>
    <row r="8" spans="1:17" hidden="1">
      <c r="A8" s="293"/>
      <c r="B8" s="408" t="s">
        <v>312</v>
      </c>
      <c r="C8" s="409" t="s">
        <v>545</v>
      </c>
      <c r="D8" s="410"/>
      <c r="E8" s="411"/>
      <c r="F8" s="411"/>
      <c r="G8" s="411"/>
      <c r="H8" s="411"/>
      <c r="I8" s="412"/>
      <c r="J8" s="613"/>
      <c r="K8" s="614"/>
      <c r="L8" s="418"/>
      <c r="M8" s="418"/>
      <c r="N8" s="418"/>
      <c r="O8" s="418"/>
      <c r="P8" s="418"/>
      <c r="Q8" s="418"/>
    </row>
    <row r="9" spans="1:17" hidden="1">
      <c r="A9" s="293"/>
      <c r="B9" s="413" t="s">
        <v>314</v>
      </c>
      <c r="C9" s="409"/>
      <c r="D9" s="414">
        <v>58.968000000000004</v>
      </c>
      <c r="E9" s="415">
        <v>47.061</v>
      </c>
      <c r="F9" s="415">
        <v>34.587000000000003</v>
      </c>
      <c r="G9" s="415">
        <v>14.742000000000001</v>
      </c>
      <c r="H9" s="415">
        <v>20.411999999999999</v>
      </c>
      <c r="I9" s="416">
        <v>31.184999999999999</v>
      </c>
      <c r="J9" s="615">
        <v>31.184999999999999</v>
      </c>
      <c r="K9" s="496"/>
      <c r="L9" s="418"/>
      <c r="M9" s="418"/>
      <c r="N9" s="418"/>
      <c r="O9" s="418"/>
      <c r="P9" s="418"/>
      <c r="Q9" s="418"/>
    </row>
    <row r="10" spans="1:17">
      <c r="A10" s="293"/>
      <c r="B10" s="447" t="s">
        <v>560</v>
      </c>
      <c r="C10" s="448"/>
      <c r="D10" s="449"/>
      <c r="E10" s="450"/>
      <c r="F10" s="450"/>
      <c r="G10" s="450"/>
      <c r="H10" s="450"/>
      <c r="I10" s="451"/>
      <c r="J10" s="451"/>
      <c r="K10" s="451"/>
      <c r="L10" s="418"/>
      <c r="M10" s="418"/>
      <c r="N10" s="418"/>
      <c r="O10" s="418"/>
      <c r="P10" s="418"/>
      <c r="Q10" s="418"/>
    </row>
    <row r="11" spans="1:17">
      <c r="A11" s="293"/>
      <c r="B11" s="452" t="s">
        <v>314</v>
      </c>
      <c r="C11" s="453" t="s">
        <v>2</v>
      </c>
      <c r="D11" s="454">
        <v>23.247</v>
      </c>
      <c r="E11" s="455">
        <v>22.113</v>
      </c>
      <c r="F11" s="455">
        <v>19.844999999999999</v>
      </c>
      <c r="G11" s="455">
        <v>4.3</v>
      </c>
      <c r="H11" s="455">
        <v>14.742000000000001</v>
      </c>
      <c r="I11" s="456">
        <v>18.710999999999999</v>
      </c>
      <c r="J11" s="456">
        <v>11.8</v>
      </c>
      <c r="K11" s="456">
        <v>9</v>
      </c>
      <c r="L11" s="418"/>
      <c r="M11" s="418"/>
      <c r="N11" s="418"/>
      <c r="O11" s="418"/>
      <c r="P11" s="418"/>
      <c r="Q11" s="418"/>
    </row>
    <row r="12" spans="1:17" ht="13.5" thickBot="1">
      <c r="A12" s="293"/>
      <c r="B12" s="457" t="s">
        <v>721</v>
      </c>
      <c r="C12" s="458"/>
      <c r="D12" s="459">
        <v>0.1</v>
      </c>
      <c r="E12" s="459">
        <v>0.1</v>
      </c>
      <c r="F12" s="459">
        <v>0.1</v>
      </c>
      <c r="G12" s="616">
        <v>2.5000000000000001E-2</v>
      </c>
      <c r="H12" s="460">
        <v>0.1016</v>
      </c>
      <c r="I12" s="461">
        <v>0.1</v>
      </c>
      <c r="J12" s="461">
        <v>0.03</v>
      </c>
      <c r="K12" s="461">
        <v>1.4999999999999999E-2</v>
      </c>
      <c r="L12" s="418"/>
      <c r="M12" s="418"/>
      <c r="N12" s="418"/>
      <c r="O12" s="418"/>
      <c r="P12" s="418"/>
      <c r="Q12" s="418"/>
    </row>
    <row r="13" spans="1:17">
      <c r="A13" s="293"/>
      <c r="B13" s="420" t="s">
        <v>561</v>
      </c>
      <c r="C13" s="418"/>
      <c r="D13" s="418"/>
      <c r="E13" s="418"/>
      <c r="F13" s="418"/>
      <c r="G13" s="418"/>
      <c r="H13" s="418"/>
      <c r="I13" s="418"/>
      <c r="J13" s="418"/>
      <c r="K13" s="418"/>
      <c r="L13" s="418"/>
      <c r="M13" s="418"/>
      <c r="N13" s="418"/>
      <c r="O13" s="418"/>
      <c r="P13" s="418"/>
      <c r="Q13" s="418"/>
    </row>
    <row r="14" spans="1:17">
      <c r="A14" s="293"/>
      <c r="B14" s="418"/>
      <c r="C14" s="418"/>
      <c r="D14" s="418"/>
      <c r="E14" s="418"/>
      <c r="F14" s="418"/>
      <c r="G14" s="418"/>
      <c r="H14" s="418"/>
      <c r="I14" s="418"/>
      <c r="J14" s="418"/>
      <c r="K14" s="418"/>
      <c r="L14" s="418"/>
      <c r="M14" s="418"/>
      <c r="N14" s="418"/>
      <c r="O14" s="418"/>
      <c r="P14" s="418"/>
      <c r="Q14" s="418"/>
    </row>
    <row r="15" spans="1:17">
      <c r="A15" s="293"/>
      <c r="B15" s="419" t="s">
        <v>557</v>
      </c>
      <c r="C15" s="418"/>
      <c r="D15" s="418"/>
      <c r="E15" s="418"/>
      <c r="F15" s="418"/>
      <c r="G15" s="418"/>
      <c r="H15" s="418"/>
      <c r="I15" s="418"/>
      <c r="J15" s="418"/>
      <c r="K15" s="418"/>
      <c r="L15" s="418"/>
      <c r="M15" s="418"/>
      <c r="N15" s="418"/>
      <c r="O15" s="418"/>
      <c r="P15" s="418"/>
      <c r="Q15" s="418"/>
    </row>
    <row r="16" spans="1:17">
      <c r="A16" s="293"/>
      <c r="B16" s="419" t="s">
        <v>562</v>
      </c>
      <c r="C16" s="418"/>
      <c r="D16" s="418"/>
      <c r="E16" s="418"/>
      <c r="F16" s="418"/>
      <c r="G16" s="418"/>
      <c r="H16" s="418"/>
      <c r="I16" s="418"/>
      <c r="J16" s="418"/>
      <c r="K16" s="418"/>
      <c r="L16" s="418"/>
      <c r="M16" s="418"/>
      <c r="N16" s="418"/>
      <c r="O16" s="418"/>
      <c r="P16" s="418"/>
      <c r="Q16" s="418"/>
    </row>
    <row r="17" spans="1:17">
      <c r="A17" s="293"/>
      <c r="B17" s="419" t="s">
        <v>563</v>
      </c>
      <c r="C17" s="418"/>
      <c r="D17" s="418"/>
      <c r="E17" s="418"/>
      <c r="F17" s="418"/>
      <c r="G17" s="418"/>
      <c r="H17" s="418"/>
      <c r="I17" s="418"/>
      <c r="J17" s="418"/>
      <c r="K17" s="418"/>
      <c r="L17" s="418"/>
      <c r="M17" s="418"/>
      <c r="N17" s="418"/>
      <c r="O17" s="418"/>
      <c r="P17" s="418"/>
      <c r="Q17" s="418"/>
    </row>
    <row r="18" spans="1:17">
      <c r="A18" s="293"/>
      <c r="B18" s="419" t="s">
        <v>564</v>
      </c>
      <c r="C18" s="418"/>
      <c r="D18" s="418"/>
      <c r="E18" s="418"/>
      <c r="F18" s="418"/>
      <c r="G18" s="418"/>
      <c r="H18" s="418"/>
      <c r="I18" s="418"/>
      <c r="J18" s="418"/>
      <c r="K18" s="418"/>
      <c r="L18" s="418"/>
      <c r="M18" s="418"/>
      <c r="N18" s="418"/>
      <c r="O18" s="418"/>
      <c r="P18" s="418"/>
      <c r="Q18" s="418"/>
    </row>
    <row r="19" spans="1:17" ht="13.5" thickBot="1">
      <c r="A19" s="293"/>
      <c r="B19" s="418"/>
      <c r="C19" s="418"/>
      <c r="D19" s="418"/>
      <c r="E19" s="418"/>
      <c r="F19" s="418"/>
      <c r="G19" s="418"/>
      <c r="H19" s="418"/>
      <c r="I19" s="418"/>
      <c r="J19" s="418"/>
      <c r="K19" s="418"/>
      <c r="L19" s="418"/>
      <c r="M19" s="418"/>
      <c r="N19" s="418"/>
      <c r="O19" s="418"/>
      <c r="P19" s="418"/>
      <c r="Q19" s="418"/>
    </row>
    <row r="20" spans="1:17" ht="13.5" thickBot="1">
      <c r="A20" s="293"/>
      <c r="B20" s="419"/>
      <c r="C20" s="440"/>
      <c r="D20" s="441"/>
      <c r="E20" s="442"/>
      <c r="F20" s="443" t="s">
        <v>558</v>
      </c>
      <c r="G20" s="444" t="s">
        <v>140</v>
      </c>
      <c r="H20" s="445" t="s">
        <v>539</v>
      </c>
      <c r="I20" s="446" t="s">
        <v>28</v>
      </c>
      <c r="J20" s="445" t="s">
        <v>722</v>
      </c>
      <c r="K20" s="446" t="s">
        <v>723</v>
      </c>
      <c r="L20" s="418"/>
      <c r="M20" s="418"/>
      <c r="N20" s="418"/>
      <c r="O20" s="418"/>
      <c r="P20" s="418"/>
      <c r="Q20" s="418"/>
    </row>
    <row r="21" spans="1:17">
      <c r="A21" s="293"/>
      <c r="B21" s="418"/>
      <c r="C21" s="462" t="s">
        <v>423</v>
      </c>
      <c r="D21" s="463"/>
      <c r="E21" s="464"/>
      <c r="F21" s="434"/>
      <c r="G21" s="435">
        <f>+superficies!H19</f>
        <v>234.82499999999999</v>
      </c>
      <c r="H21" s="436"/>
      <c r="I21" s="435">
        <f>+superficies!D23</f>
        <v>109.12499999999999</v>
      </c>
      <c r="J21" s="617" t="s">
        <v>2</v>
      </c>
      <c r="K21" s="435">
        <v>100</v>
      </c>
      <c r="L21" s="418" t="s">
        <v>27</v>
      </c>
      <c r="M21" s="418"/>
      <c r="N21" s="418"/>
      <c r="O21" s="418"/>
      <c r="P21" s="418"/>
      <c r="Q21" s="418"/>
    </row>
    <row r="22" spans="1:17" ht="13.5" thickBot="1">
      <c r="A22" s="293"/>
      <c r="B22" s="418"/>
      <c r="C22" s="465" t="s">
        <v>422</v>
      </c>
      <c r="D22" s="466"/>
      <c r="E22" s="467"/>
      <c r="F22" s="437" t="s">
        <v>303</v>
      </c>
      <c r="G22" s="407">
        <v>22.1</v>
      </c>
      <c r="H22" s="438" t="s">
        <v>579</v>
      </c>
      <c r="I22" s="439">
        <f>+D11</f>
        <v>23.247</v>
      </c>
      <c r="J22" s="438" t="s">
        <v>719</v>
      </c>
      <c r="K22" s="439">
        <v>11.8</v>
      </c>
      <c r="L22" s="418" t="s">
        <v>306</v>
      </c>
      <c r="M22" s="418"/>
      <c r="N22" s="418"/>
      <c r="O22" s="418"/>
      <c r="P22" s="418"/>
      <c r="Q22" s="418"/>
    </row>
    <row r="23" spans="1:17" ht="13.5" thickBot="1">
      <c r="A23" s="293"/>
      <c r="B23" s="418"/>
      <c r="C23" s="418"/>
      <c r="D23" s="418"/>
      <c r="E23" s="418"/>
      <c r="F23" s="418"/>
      <c r="G23" s="418"/>
      <c r="H23" s="418"/>
      <c r="I23" s="418"/>
      <c r="J23" s="418"/>
      <c r="K23" s="418"/>
      <c r="L23" s="418"/>
      <c r="M23" s="418"/>
      <c r="N23" s="418"/>
      <c r="O23" s="418"/>
      <c r="P23" s="418"/>
      <c r="Q23" s="418"/>
    </row>
    <row r="24" spans="1:17">
      <c r="A24" s="293"/>
      <c r="B24" s="419" t="s">
        <v>565</v>
      </c>
      <c r="C24" s="418"/>
      <c r="D24" s="418"/>
      <c r="E24" s="418"/>
      <c r="F24" s="421" t="s">
        <v>284</v>
      </c>
      <c r="G24" s="423" t="s">
        <v>546</v>
      </c>
      <c r="H24" s="423" t="s">
        <v>285</v>
      </c>
      <c r="I24" s="424" t="s">
        <v>586</v>
      </c>
      <c r="J24" s="418"/>
      <c r="K24" s="418"/>
      <c r="L24" s="418"/>
      <c r="M24" s="418"/>
      <c r="N24" s="418"/>
      <c r="O24" s="418"/>
      <c r="P24" s="418"/>
      <c r="Q24" s="418"/>
    </row>
    <row r="25" spans="1:17" ht="13.5" thickBot="1">
      <c r="A25" s="293"/>
      <c r="B25" s="419" t="s">
        <v>566</v>
      </c>
      <c r="C25" s="418"/>
      <c r="D25" s="418"/>
      <c r="E25" s="418"/>
      <c r="F25" s="422"/>
      <c r="G25" s="425" t="s">
        <v>286</v>
      </c>
      <c r="H25" s="425" t="s">
        <v>223</v>
      </c>
      <c r="I25" s="468">
        <v>24.4</v>
      </c>
      <c r="J25" s="418"/>
      <c r="K25" s="418"/>
      <c r="L25" s="418"/>
      <c r="M25" s="418"/>
      <c r="N25" s="418"/>
      <c r="O25" s="418"/>
      <c r="P25" s="418"/>
      <c r="Q25" s="418"/>
    </row>
    <row r="26" spans="1:17">
      <c r="A26" s="293"/>
      <c r="B26" s="419" t="s">
        <v>567</v>
      </c>
      <c r="C26" s="418"/>
      <c r="D26" s="418"/>
      <c r="E26" s="418"/>
      <c r="F26" s="426">
        <v>0</v>
      </c>
      <c r="G26" s="427">
        <f>+'Balance enfriamiento'!AA12</f>
        <v>21.975000000000001</v>
      </c>
      <c r="H26" s="427">
        <f>+'Balance enfriamiento'!AF247</f>
        <v>-5318.6690015537479</v>
      </c>
      <c r="I26" s="618">
        <f>IF(AND(H26&lt;0,(+H26/(($G$22*$G$21)+($I$21*$I$22)+($K$21*$K$22))+I25)&lt;G26),G26,(+H26/(($G$22*$G$21)+($I$21*$I$22)+($K$21*$K$22))+I25))</f>
        <v>23.802830284934149</v>
      </c>
      <c r="J26" s="418"/>
      <c r="K26" s="418"/>
      <c r="L26" s="418"/>
      <c r="M26" s="418"/>
      <c r="N26" s="418"/>
      <c r="O26" s="418"/>
      <c r="P26" s="418"/>
      <c r="Q26" s="418"/>
    </row>
    <row r="27" spans="1:17">
      <c r="A27" s="293"/>
      <c r="B27" s="419" t="s">
        <v>568</v>
      </c>
      <c r="C27" s="418"/>
      <c r="D27" s="418"/>
      <c r="E27" s="418"/>
      <c r="F27" s="428">
        <v>2</v>
      </c>
      <c r="G27" s="429">
        <f>+'Balance enfriamiento'!AA13</f>
        <v>20.937500000000004</v>
      </c>
      <c r="H27" s="429">
        <f>+'Balance enfriamiento'!AF248</f>
        <v>-7273.4526655843674</v>
      </c>
      <c r="I27" s="619">
        <f t="shared" ref="I27:I37" si="0">IF(AND(H27&lt;0,(+H27/(($G$22*$G$21)+($I$21*$I$22)+($K$21*$K$22))+I26)&lt;G27),G27,(+H27/(($G$22*$G$21)+($I$21*$I$22)+($K$21*$K$22))+I26))</f>
        <v>22.986181297267667</v>
      </c>
      <c r="J27" s="418"/>
      <c r="K27" s="418"/>
      <c r="L27" s="418"/>
      <c r="M27" s="418"/>
      <c r="N27" s="418"/>
      <c r="O27" s="418"/>
      <c r="P27" s="418"/>
      <c r="Q27" s="418"/>
    </row>
    <row r="28" spans="1:17">
      <c r="A28" s="293"/>
      <c r="B28" s="419" t="s">
        <v>569</v>
      </c>
      <c r="C28" s="418"/>
      <c r="D28" s="418"/>
      <c r="E28" s="418"/>
      <c r="F28" s="428">
        <v>4</v>
      </c>
      <c r="G28" s="429">
        <f>+'Balance enfriamiento'!AA14</f>
        <v>19.900000000000002</v>
      </c>
      <c r="H28" s="429">
        <f>+'Balance enfriamiento'!AF249</f>
        <v>-9212.4218296149957</v>
      </c>
      <c r="I28" s="619">
        <f t="shared" si="0"/>
        <v>21.951828658017043</v>
      </c>
      <c r="J28" s="418"/>
      <c r="K28" s="418"/>
      <c r="L28" s="418"/>
      <c r="M28" s="418"/>
      <c r="N28" s="418"/>
      <c r="O28" s="418"/>
      <c r="P28" s="418"/>
      <c r="Q28" s="418"/>
    </row>
    <row r="29" spans="1:17">
      <c r="A29" s="293"/>
      <c r="B29" s="419" t="s">
        <v>570</v>
      </c>
      <c r="C29" s="418"/>
      <c r="D29" s="418"/>
      <c r="E29" s="418"/>
      <c r="F29" s="428">
        <v>6</v>
      </c>
      <c r="G29" s="429">
        <f>+'Balance enfriamiento'!AA15</f>
        <v>19.200000000000003</v>
      </c>
      <c r="H29" s="429">
        <f>+'Balance enfriamiento'!AF250</f>
        <v>-9008.9732255199942</v>
      </c>
      <c r="I29" s="619">
        <f t="shared" si="0"/>
        <v>20.940318828669135</v>
      </c>
      <c r="J29" s="418"/>
      <c r="K29" s="418"/>
      <c r="L29" s="418"/>
      <c r="M29" s="418"/>
      <c r="N29" s="418"/>
      <c r="O29" s="418"/>
      <c r="P29" s="418"/>
      <c r="Q29" s="418"/>
    </row>
    <row r="30" spans="1:17">
      <c r="B30" s="418"/>
      <c r="C30" s="418"/>
      <c r="D30" s="418"/>
      <c r="E30" s="418"/>
      <c r="F30" s="428">
        <v>8</v>
      </c>
      <c r="G30" s="429">
        <f>+'Balance enfriamiento'!AA16</f>
        <v>20.587500000000002</v>
      </c>
      <c r="H30" s="429">
        <f>+'Balance enfriamiento'!AF251</f>
        <v>-5015.6642999368696</v>
      </c>
      <c r="I30" s="619">
        <f t="shared" si="0"/>
        <v>20.587500000000002</v>
      </c>
      <c r="J30" s="418"/>
      <c r="K30" s="418"/>
      <c r="L30" s="418"/>
      <c r="M30" s="418"/>
      <c r="N30" s="418"/>
      <c r="O30" s="418"/>
      <c r="P30" s="418"/>
      <c r="Q30" s="418"/>
    </row>
    <row r="31" spans="1:17">
      <c r="B31" s="419" t="s">
        <v>664</v>
      </c>
      <c r="C31" s="418"/>
      <c r="D31" s="418"/>
      <c r="E31" s="418"/>
      <c r="F31" s="428">
        <v>10</v>
      </c>
      <c r="G31" s="429">
        <f>+'Balance enfriamiento'!AA17</f>
        <v>26.487500000000004</v>
      </c>
      <c r="H31" s="429">
        <f>+'Balance enfriamiento'!AF252</f>
        <v>4134.0612070231255</v>
      </c>
      <c r="I31" s="619">
        <f t="shared" si="0"/>
        <v>21.051664277254631</v>
      </c>
      <c r="J31" s="418"/>
      <c r="K31" s="418"/>
      <c r="L31" s="418"/>
      <c r="M31" s="418"/>
      <c r="N31" s="418"/>
      <c r="O31" s="418"/>
      <c r="P31" s="418"/>
      <c r="Q31" s="418"/>
    </row>
    <row r="32" spans="1:17">
      <c r="B32" s="419" t="s">
        <v>665</v>
      </c>
      <c r="C32" s="418"/>
      <c r="D32" s="418"/>
      <c r="E32" s="418"/>
      <c r="F32" s="428">
        <v>12</v>
      </c>
      <c r="G32" s="429">
        <f>+'Balance enfriamiento'!AA18</f>
        <v>29.962500000000002</v>
      </c>
      <c r="H32" s="429">
        <f>+'Balance enfriamiento'!AF253</f>
        <v>6357.7536636443747</v>
      </c>
      <c r="I32" s="619">
        <f t="shared" si="0"/>
        <v>21.765500378480002</v>
      </c>
      <c r="J32" s="418"/>
      <c r="K32" s="418"/>
      <c r="L32" s="418"/>
      <c r="M32" s="418"/>
      <c r="N32" s="418"/>
      <c r="O32" s="418"/>
      <c r="P32" s="418"/>
      <c r="Q32" s="418"/>
    </row>
    <row r="33" spans="2:17">
      <c r="B33" s="419" t="s">
        <v>666</v>
      </c>
      <c r="C33" s="418"/>
      <c r="D33" s="418"/>
      <c r="E33" s="418"/>
      <c r="F33" s="428">
        <v>14</v>
      </c>
      <c r="G33" s="429">
        <f>+'Balance enfriamiento'!AA19</f>
        <v>31.700000000000003</v>
      </c>
      <c r="H33" s="429">
        <f>+'Balance enfriamiento'!AF254</f>
        <v>4760.184707155001</v>
      </c>
      <c r="I33" s="619">
        <f t="shared" si="0"/>
        <v>22.299964573262972</v>
      </c>
      <c r="J33" s="418"/>
      <c r="K33" s="418"/>
      <c r="L33" s="418"/>
      <c r="M33" s="418"/>
      <c r="N33" s="418"/>
      <c r="O33" s="418"/>
      <c r="P33" s="418"/>
      <c r="Q33" s="418"/>
    </row>
    <row r="34" spans="2:17">
      <c r="B34" s="419" t="s">
        <v>667</v>
      </c>
      <c r="C34" s="418"/>
      <c r="D34" s="418"/>
      <c r="E34" s="418"/>
      <c r="F34" s="428">
        <v>16</v>
      </c>
      <c r="G34" s="429">
        <f>+'Balance enfriamiento'!AA20</f>
        <v>30.662500000000001</v>
      </c>
      <c r="H34" s="429">
        <f>+'Balance enfriamiento'!AF255</f>
        <v>4394.5123793493749</v>
      </c>
      <c r="I34" s="619">
        <f t="shared" si="0"/>
        <v>22.79337179688655</v>
      </c>
      <c r="J34" s="418"/>
      <c r="K34" s="418"/>
      <c r="L34" s="418"/>
      <c r="M34" s="418"/>
      <c r="N34" s="418"/>
      <c r="O34" s="418"/>
      <c r="P34" s="418"/>
      <c r="Q34" s="418"/>
    </row>
    <row r="35" spans="2:17">
      <c r="B35" s="419" t="s">
        <v>668</v>
      </c>
      <c r="C35" s="418"/>
      <c r="D35" s="418"/>
      <c r="E35" s="418"/>
      <c r="F35" s="428">
        <v>18</v>
      </c>
      <c r="G35" s="429">
        <f>+'Balance enfriamiento'!AA21</f>
        <v>27.875</v>
      </c>
      <c r="H35" s="429">
        <f>+'Balance enfriamiento'!AF256</f>
        <v>4291.7569742812493</v>
      </c>
      <c r="I35" s="619">
        <f t="shared" si="0"/>
        <v>23.275241845335646</v>
      </c>
      <c r="J35" s="418"/>
      <c r="K35" s="418"/>
      <c r="L35" s="418"/>
      <c r="M35" s="418"/>
      <c r="N35" s="418"/>
      <c r="O35" s="418"/>
      <c r="P35" s="418"/>
      <c r="Q35" s="418"/>
    </row>
    <row r="36" spans="2:17">
      <c r="B36" s="419" t="s">
        <v>669</v>
      </c>
      <c r="C36" s="418"/>
      <c r="D36" s="418"/>
      <c r="E36" s="418"/>
      <c r="F36" s="428">
        <v>20</v>
      </c>
      <c r="G36" s="429">
        <f>+'Balance enfriamiento'!AA22</f>
        <v>24.750000000000004</v>
      </c>
      <c r="H36" s="429">
        <f>+'Balance enfriamiento'!AF257</f>
        <v>4012.7292531125004</v>
      </c>
      <c r="I36" s="619">
        <f t="shared" si="0"/>
        <v>23.725783208977106</v>
      </c>
      <c r="J36" s="418"/>
      <c r="K36" s="418"/>
      <c r="L36" s="418"/>
      <c r="M36" s="418"/>
      <c r="N36" s="418"/>
      <c r="O36" s="418"/>
      <c r="P36" s="418"/>
      <c r="Q36" s="418"/>
    </row>
    <row r="37" spans="2:17" ht="13.5" thickBot="1">
      <c r="B37" s="419" t="s">
        <v>670</v>
      </c>
      <c r="C37" s="418"/>
      <c r="D37" s="418"/>
      <c r="E37" s="418"/>
      <c r="F37" s="430">
        <v>22</v>
      </c>
      <c r="G37" s="431">
        <f>+'Balance enfriamiento'!AA23</f>
        <v>23.062500000000004</v>
      </c>
      <c r="H37" s="431">
        <f>+'Balance enfriamiento'!AF258</f>
        <v>2413.1438209843818</v>
      </c>
      <c r="I37" s="620">
        <f t="shared" si="0"/>
        <v>23.996726260249741</v>
      </c>
      <c r="J37" s="418"/>
      <c r="K37" s="418"/>
      <c r="L37" s="418"/>
      <c r="M37" s="418"/>
      <c r="N37" s="418"/>
      <c r="O37" s="418"/>
      <c r="P37" s="418"/>
      <c r="Q37" s="418"/>
    </row>
    <row r="38" spans="2:17">
      <c r="B38" s="418"/>
      <c r="C38" s="432"/>
      <c r="D38" s="418"/>
      <c r="E38" s="418"/>
      <c r="F38" s="418" t="s">
        <v>2</v>
      </c>
      <c r="G38" s="418"/>
      <c r="H38" s="418"/>
      <c r="I38" s="418"/>
      <c r="J38" s="418"/>
      <c r="K38" s="418"/>
      <c r="L38" s="418"/>
      <c r="M38" s="418"/>
      <c r="N38" s="418"/>
      <c r="O38" s="418"/>
      <c r="P38" s="418"/>
      <c r="Q38" s="418"/>
    </row>
    <row r="39" spans="2:17">
      <c r="B39" s="419" t="s">
        <v>587</v>
      </c>
      <c r="C39" s="418"/>
      <c r="D39" s="418"/>
      <c r="E39" s="418"/>
      <c r="F39" s="418"/>
      <c r="G39" s="418"/>
      <c r="H39" s="418"/>
      <c r="I39" s="418"/>
      <c r="J39" s="418"/>
      <c r="K39" s="418"/>
      <c r="L39" s="418"/>
      <c r="M39" s="418"/>
      <c r="N39" s="418"/>
      <c r="O39" s="418"/>
      <c r="P39" s="418"/>
      <c r="Q39" s="418"/>
    </row>
    <row r="40" spans="2:17">
      <c r="B40" s="419" t="s">
        <v>588</v>
      </c>
      <c r="C40" s="418"/>
      <c r="D40" s="433"/>
      <c r="E40" s="418"/>
      <c r="F40" s="418"/>
      <c r="G40" s="418"/>
      <c r="H40" s="418"/>
      <c r="I40" s="418"/>
      <c r="J40" s="418"/>
      <c r="K40" s="418"/>
      <c r="L40" s="418"/>
      <c r="M40" s="418"/>
      <c r="N40" s="418"/>
      <c r="O40" s="418"/>
      <c r="P40" s="418"/>
      <c r="Q40" s="418"/>
    </row>
    <row r="41" spans="2:17">
      <c r="B41" s="419" t="s">
        <v>589</v>
      </c>
      <c r="C41" s="418"/>
      <c r="D41" s="418"/>
      <c r="E41" s="418"/>
      <c r="F41" s="418"/>
      <c r="G41" s="418"/>
      <c r="H41" s="418"/>
      <c r="I41" s="418"/>
      <c r="J41" s="418"/>
      <c r="K41" s="418"/>
      <c r="L41" s="418"/>
      <c r="M41" s="418"/>
      <c r="N41" s="418"/>
      <c r="O41" s="418"/>
      <c r="P41" s="418"/>
      <c r="Q41" s="418"/>
    </row>
    <row r="42" spans="2:17">
      <c r="B42" s="419" t="s">
        <v>590</v>
      </c>
      <c r="C42" s="418"/>
      <c r="D42" s="418"/>
      <c r="E42" s="418"/>
      <c r="F42" s="418"/>
      <c r="G42" s="418"/>
      <c r="H42" s="418"/>
      <c r="I42" s="418"/>
      <c r="J42" s="418"/>
      <c r="K42" s="418"/>
      <c r="L42" s="418"/>
      <c r="M42" s="418"/>
      <c r="N42" s="418"/>
      <c r="O42" s="418"/>
      <c r="P42" s="418"/>
      <c r="Q42" s="418"/>
    </row>
    <row r="43" spans="2:17">
      <c r="B43" s="419" t="s">
        <v>591</v>
      </c>
      <c r="C43" s="418"/>
      <c r="D43" s="418"/>
      <c r="E43" s="418"/>
      <c r="F43" s="418"/>
      <c r="G43" s="418"/>
      <c r="H43" s="418"/>
      <c r="I43" s="418"/>
      <c r="J43" s="418"/>
      <c r="K43" s="418"/>
      <c r="L43" s="418"/>
      <c r="M43" s="418"/>
      <c r="N43" s="418"/>
      <c r="O43" s="418"/>
      <c r="P43" s="418"/>
      <c r="Q43" s="418"/>
    </row>
    <row r="44" spans="2:17">
      <c r="B44" s="418"/>
      <c r="C44" s="418"/>
      <c r="D44" s="418"/>
      <c r="E44" s="418"/>
      <c r="F44" s="418"/>
      <c r="G44" s="418"/>
      <c r="H44" s="418"/>
      <c r="I44" s="418"/>
      <c r="J44" s="418"/>
      <c r="K44" s="418"/>
      <c r="L44" s="418"/>
      <c r="M44" s="418"/>
      <c r="N44" s="418"/>
      <c r="O44" s="418"/>
      <c r="P44" s="418"/>
      <c r="Q44" s="418"/>
    </row>
    <row r="45" spans="2:17">
      <c r="B45" s="418"/>
      <c r="C45" s="418"/>
      <c r="D45" s="418"/>
      <c r="E45" s="418"/>
      <c r="F45" s="418"/>
      <c r="G45" s="418"/>
      <c r="H45" s="418"/>
      <c r="I45" s="418"/>
      <c r="J45" s="418"/>
      <c r="K45" s="418"/>
      <c r="L45" s="418"/>
      <c r="M45" s="418"/>
      <c r="N45" s="418"/>
      <c r="O45" s="418"/>
      <c r="P45" s="418"/>
      <c r="Q45" s="418"/>
    </row>
  </sheetData>
  <mergeCells count="1">
    <mergeCell ref="B6:K6"/>
  </mergeCells>
  <phoneticPr fontId="14" type="noConversion"/>
  <pageMargins left="0.75" right="0.75" top="1" bottom="1" header="0" footer="0"/>
  <pageSetup paperSize="9" orientation="portrait" horizontalDpi="0" verticalDpi="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/>
  <dimension ref="A1:K123"/>
  <sheetViews>
    <sheetView workbookViewId="0">
      <selection activeCell="G114" sqref="G114:G115"/>
    </sheetView>
  </sheetViews>
  <sheetFormatPr baseColWidth="10" defaultRowHeight="12.75"/>
  <cols>
    <col min="4" max="4" width="12.42578125" customWidth="1"/>
    <col min="10" max="10" width="15.140625" customWidth="1"/>
    <col min="12" max="12" width="15.85546875" customWidth="1"/>
  </cols>
  <sheetData>
    <row r="1" spans="1:11">
      <c r="A1" s="95" t="s">
        <v>606</v>
      </c>
      <c r="B1" s="96"/>
      <c r="C1" s="96"/>
      <c r="D1" s="96"/>
      <c r="E1" s="96"/>
      <c r="F1" s="96"/>
      <c r="G1" s="96"/>
      <c r="H1" s="7"/>
      <c r="I1" s="7"/>
      <c r="J1" s="7"/>
      <c r="K1" s="7"/>
    </row>
    <row r="2" spans="1:11">
      <c r="A2" s="96" t="s">
        <v>572</v>
      </c>
      <c r="B2" s="96"/>
      <c r="C2" s="96"/>
      <c r="D2" s="96"/>
      <c r="E2" s="96"/>
      <c r="F2" s="96"/>
      <c r="G2" s="96"/>
      <c r="H2" s="7"/>
      <c r="I2" s="7"/>
      <c r="J2" s="7"/>
      <c r="K2" s="7"/>
    </row>
    <row r="3" spans="1:11">
      <c r="A3" s="96"/>
      <c r="B3" s="96"/>
      <c r="C3" s="96"/>
      <c r="D3" s="96"/>
      <c r="E3" s="96"/>
      <c r="F3" s="96"/>
      <c r="G3" s="96"/>
      <c r="H3" s="7"/>
      <c r="I3" s="7"/>
      <c r="J3" s="7"/>
      <c r="K3" s="7"/>
    </row>
    <row r="4" spans="1:11">
      <c r="A4" s="292" t="s">
        <v>607</v>
      </c>
      <c r="B4" s="96"/>
      <c r="C4" s="96"/>
      <c r="D4" s="96"/>
      <c r="E4" s="96"/>
      <c r="F4" s="96"/>
      <c r="G4" s="96"/>
      <c r="H4" s="7"/>
      <c r="I4" s="7"/>
      <c r="J4" s="7"/>
      <c r="K4" s="7"/>
    </row>
    <row r="5" spans="1:11">
      <c r="A5" s="292" t="s">
        <v>610</v>
      </c>
      <c r="B5" s="96"/>
      <c r="C5" s="96"/>
      <c r="D5" s="96"/>
      <c r="E5" s="96"/>
      <c r="F5" s="96"/>
      <c r="G5" s="96"/>
      <c r="H5" s="7"/>
      <c r="I5" s="7"/>
      <c r="J5" s="7"/>
      <c r="K5" s="7"/>
    </row>
    <row r="6" spans="1:11">
      <c r="A6" s="96" t="s">
        <v>608</v>
      </c>
      <c r="B6" s="96"/>
      <c r="C6" s="96"/>
      <c r="D6" s="96"/>
      <c r="E6" s="96"/>
      <c r="F6" s="96"/>
      <c r="G6" s="96"/>
      <c r="H6" s="7"/>
      <c r="I6" s="7"/>
      <c r="J6" s="7"/>
      <c r="K6" s="7"/>
    </row>
    <row r="7" spans="1:11">
      <c r="A7" s="96"/>
      <c r="B7" s="96"/>
      <c r="C7" s="96"/>
      <c r="D7" s="96"/>
      <c r="E7" s="96"/>
      <c r="F7" s="96"/>
      <c r="G7" s="96"/>
      <c r="H7" s="7"/>
      <c r="I7" s="7"/>
      <c r="J7" s="7"/>
      <c r="K7" s="7"/>
    </row>
    <row r="8" spans="1:11">
      <c r="A8" s="292" t="s">
        <v>609</v>
      </c>
      <c r="B8" s="96"/>
      <c r="C8" s="96"/>
      <c r="D8" s="96"/>
      <c r="E8" s="96"/>
      <c r="F8" s="96"/>
      <c r="G8" s="96"/>
      <c r="H8" s="7"/>
      <c r="I8" s="7"/>
      <c r="J8" s="7"/>
      <c r="K8" s="7"/>
    </row>
    <row r="9" spans="1:11" ht="13.5" thickBot="1">
      <c r="A9" s="292"/>
      <c r="B9" s="96"/>
      <c r="C9" s="96"/>
      <c r="D9" s="96"/>
      <c r="E9" s="96"/>
      <c r="F9" s="96"/>
      <c r="G9" s="96"/>
      <c r="H9" s="7"/>
      <c r="I9" s="7"/>
      <c r="J9" s="7"/>
      <c r="K9" s="7"/>
    </row>
    <row r="10" spans="1:11">
      <c r="A10" s="95"/>
      <c r="B10" s="396" t="s">
        <v>599</v>
      </c>
      <c r="C10" s="397"/>
      <c r="D10" s="397" t="s">
        <v>548</v>
      </c>
      <c r="E10" s="96"/>
      <c r="F10" s="96"/>
      <c r="G10" s="96"/>
      <c r="H10" s="7"/>
      <c r="I10" s="7"/>
      <c r="J10" s="7"/>
      <c r="K10" s="7"/>
    </row>
    <row r="11" spans="1:11" ht="13.5" thickBot="1">
      <c r="A11" s="95"/>
      <c r="B11" s="400"/>
      <c r="C11" s="401"/>
      <c r="D11" s="401" t="s">
        <v>598</v>
      </c>
      <c r="E11" s="96"/>
      <c r="F11" s="96"/>
      <c r="G11" s="96"/>
      <c r="H11" s="7"/>
      <c r="I11" s="7"/>
      <c r="J11" s="7"/>
      <c r="K11" s="7"/>
    </row>
    <row r="12" spans="1:11">
      <c r="A12" s="95"/>
      <c r="B12" s="405" t="s">
        <v>603</v>
      </c>
      <c r="C12" s="406"/>
      <c r="D12" s="402">
        <v>3</v>
      </c>
      <c r="E12" s="96"/>
      <c r="F12" s="96"/>
      <c r="G12" s="96"/>
      <c r="H12" s="7"/>
      <c r="I12" s="7"/>
      <c r="J12" s="7"/>
      <c r="K12" s="7"/>
    </row>
    <row r="13" spans="1:11">
      <c r="A13" s="95"/>
      <c r="B13" s="398" t="s">
        <v>600</v>
      </c>
      <c r="C13" s="402"/>
      <c r="D13" s="403">
        <v>20</v>
      </c>
      <c r="E13" s="96"/>
      <c r="F13" s="96"/>
      <c r="G13" s="96"/>
      <c r="H13" s="7"/>
      <c r="I13" s="7"/>
      <c r="J13" s="7"/>
      <c r="K13" s="7"/>
    </row>
    <row r="14" spans="1:11">
      <c r="A14" s="95"/>
      <c r="B14" s="398" t="s">
        <v>601</v>
      </c>
      <c r="C14" s="402"/>
      <c r="D14" s="403">
        <v>10</v>
      </c>
      <c r="E14" s="96"/>
      <c r="F14" s="96"/>
      <c r="G14" s="96"/>
      <c r="H14" s="7"/>
      <c r="I14" s="7"/>
      <c r="J14" s="7"/>
      <c r="K14" s="7"/>
    </row>
    <row r="15" spans="1:11">
      <c r="A15" s="95"/>
      <c r="B15" s="398" t="s">
        <v>602</v>
      </c>
      <c r="C15" s="402"/>
      <c r="D15" s="403">
        <v>6</v>
      </c>
      <c r="E15" s="96"/>
      <c r="F15" s="96"/>
      <c r="G15" s="96"/>
      <c r="H15" s="7"/>
      <c r="I15" s="7"/>
      <c r="J15" s="7"/>
      <c r="K15" s="7"/>
    </row>
    <row r="16" spans="1:11">
      <c r="A16" s="95"/>
      <c r="B16" s="398" t="s">
        <v>604</v>
      </c>
      <c r="C16" s="402"/>
      <c r="D16" s="403">
        <v>12</v>
      </c>
      <c r="E16" s="96"/>
      <c r="F16" s="96"/>
      <c r="G16" s="96"/>
      <c r="H16" s="7"/>
      <c r="I16" s="7"/>
      <c r="J16" s="7"/>
      <c r="K16" s="7"/>
    </row>
    <row r="17" spans="1:11" ht="13.5" thickBot="1">
      <c r="A17" s="95"/>
      <c r="B17" s="399" t="s">
        <v>605</v>
      </c>
      <c r="C17" s="407"/>
      <c r="D17" s="404">
        <v>8</v>
      </c>
      <c r="E17" s="96"/>
      <c r="F17" s="96"/>
      <c r="G17" s="96"/>
      <c r="H17" s="7"/>
      <c r="I17" s="7"/>
      <c r="J17" s="7"/>
      <c r="K17" s="7"/>
    </row>
    <row r="18" spans="1:11">
      <c r="A18" s="95"/>
      <c r="B18" s="96"/>
      <c r="C18" s="96"/>
      <c r="D18" s="96"/>
      <c r="E18" s="96"/>
      <c r="F18" s="96"/>
      <c r="G18" s="96"/>
      <c r="H18" s="7"/>
      <c r="I18" s="7"/>
      <c r="J18" s="7"/>
      <c r="K18" s="7"/>
    </row>
    <row r="19" spans="1:11">
      <c r="A19" s="95"/>
      <c r="B19" s="96"/>
      <c r="C19" s="96"/>
      <c r="D19" s="96"/>
      <c r="E19" s="96"/>
      <c r="F19" s="96"/>
      <c r="G19" s="96"/>
      <c r="H19" s="7"/>
      <c r="I19" s="7"/>
      <c r="J19" s="7"/>
      <c r="K19" s="7"/>
    </row>
    <row r="20" spans="1:11">
      <c r="A20" s="95" t="s">
        <v>571</v>
      </c>
      <c r="B20" s="96"/>
      <c r="C20" s="96"/>
      <c r="D20" s="96"/>
      <c r="E20" s="96"/>
      <c r="F20" s="96"/>
      <c r="G20" s="96"/>
      <c r="H20" s="7"/>
      <c r="I20" s="7"/>
      <c r="J20" s="7"/>
      <c r="K20" s="7"/>
    </row>
    <row r="21" spans="1:11">
      <c r="A21" s="96"/>
      <c r="B21" s="96"/>
      <c r="C21" s="96"/>
      <c r="D21" s="96"/>
      <c r="E21" s="96"/>
      <c r="F21" s="96"/>
      <c r="G21" s="96"/>
      <c r="H21" s="7"/>
      <c r="I21" s="7"/>
      <c r="J21" s="7"/>
      <c r="K21" s="7"/>
    </row>
    <row r="22" spans="1:11" ht="14.25">
      <c r="A22" s="292" t="s">
        <v>511</v>
      </c>
      <c r="B22" s="96"/>
      <c r="C22" s="96"/>
      <c r="D22" s="96"/>
      <c r="E22" s="96">
        <f>+superficies!D22</f>
        <v>261.89999999999998</v>
      </c>
      <c r="F22" s="292" t="s">
        <v>510</v>
      </c>
      <c r="G22" s="96"/>
      <c r="H22" s="96"/>
      <c r="I22" s="96"/>
      <c r="J22" s="96"/>
      <c r="K22" s="96"/>
    </row>
    <row r="23" spans="1:11">
      <c r="A23" s="96" t="s">
        <v>228</v>
      </c>
      <c r="B23" s="96"/>
      <c r="C23" s="96"/>
      <c r="D23" s="96"/>
      <c r="E23" s="368">
        <v>20</v>
      </c>
      <c r="F23" s="292" t="s">
        <v>514</v>
      </c>
      <c r="G23" s="96"/>
      <c r="H23" s="7"/>
      <c r="I23" s="7"/>
      <c r="J23" s="7"/>
      <c r="K23" s="7"/>
    </row>
    <row r="24" spans="1:11" ht="14.25">
      <c r="A24" s="292" t="s">
        <v>512</v>
      </c>
      <c r="B24" s="96"/>
      <c r="C24" s="96"/>
      <c r="D24" s="96"/>
      <c r="E24" s="127">
        <f>+E23*E22</f>
        <v>5238</v>
      </c>
      <c r="F24" s="292" t="s">
        <v>516</v>
      </c>
      <c r="G24" s="96"/>
      <c r="H24" s="7"/>
      <c r="I24" s="7"/>
      <c r="J24" s="7"/>
      <c r="K24" s="7"/>
    </row>
    <row r="25" spans="1:11">
      <c r="A25" s="292" t="s">
        <v>513</v>
      </c>
      <c r="B25" s="96"/>
      <c r="C25" s="96"/>
      <c r="D25" s="96"/>
      <c r="E25" s="149" t="str">
        <f>VLOOKUP(Lugar!E84,Lugar!A65:C84,2)</f>
        <v>Salta</v>
      </c>
      <c r="F25" s="96"/>
      <c r="G25" s="96"/>
      <c r="H25" s="7"/>
      <c r="I25" s="7"/>
      <c r="J25" s="7"/>
      <c r="K25" s="7"/>
    </row>
    <row r="26" spans="1:11">
      <c r="A26" s="292" t="s">
        <v>517</v>
      </c>
      <c r="B26" s="96"/>
      <c r="C26" s="96"/>
      <c r="D26" s="96"/>
      <c r="E26" s="149">
        <f>VLOOKUP(Lugar!E84,Lugar!A64:E84,4)</f>
        <v>9</v>
      </c>
      <c r="F26" s="314" t="s">
        <v>515</v>
      </c>
      <c r="G26" s="96"/>
      <c r="H26" s="7"/>
      <c r="I26" s="7"/>
      <c r="J26" s="7"/>
      <c r="K26" s="7"/>
    </row>
    <row r="27" spans="1:11">
      <c r="A27" s="96" t="s">
        <v>526</v>
      </c>
      <c r="B27" s="96"/>
      <c r="C27" s="96"/>
      <c r="D27" s="96"/>
      <c r="E27" s="127" t="str">
        <f>VLOOKUP(Lugar!E84,Lugar!A64:I84,8)</f>
        <v>E</v>
      </c>
      <c r="F27" s="317" t="s">
        <v>521</v>
      </c>
      <c r="G27" s="318"/>
      <c r="H27" s="319"/>
      <c r="I27" s="7"/>
      <c r="J27" s="7"/>
      <c r="K27" s="7"/>
    </row>
    <row r="28" spans="1:11">
      <c r="A28" s="292" t="s">
        <v>474</v>
      </c>
      <c r="B28" s="96"/>
      <c r="C28" s="96"/>
      <c r="D28" s="96"/>
      <c r="E28" s="127">
        <f>VLOOKUP(Lugar!E84,Lugar!A64:I84,7)</f>
        <v>45</v>
      </c>
      <c r="F28" s="317" t="s">
        <v>473</v>
      </c>
      <c r="G28" s="318"/>
      <c r="H28" s="127" t="str">
        <f>VLOOKUP(Lugar!E84,Lugar!A64:I84,8)</f>
        <v>E</v>
      </c>
      <c r="I28" s="7"/>
      <c r="J28" s="7"/>
      <c r="K28" s="7"/>
    </row>
    <row r="29" spans="1:11">
      <c r="A29" s="292" t="s">
        <v>484</v>
      </c>
      <c r="B29" s="96"/>
      <c r="C29" s="96"/>
      <c r="D29" s="96"/>
      <c r="E29" s="96"/>
      <c r="F29" s="96"/>
      <c r="G29" s="96"/>
      <c r="H29" s="7"/>
      <c r="I29" s="7"/>
      <c r="J29" s="7"/>
      <c r="K29" s="7"/>
    </row>
    <row r="30" spans="1:11">
      <c r="A30" s="96"/>
      <c r="B30" s="292" t="s">
        <v>483</v>
      </c>
      <c r="C30" s="292"/>
      <c r="D30" s="96" t="s">
        <v>182</v>
      </c>
      <c r="E30" s="96">
        <f>IF($E$28&lt;22.5,0.4,IF($E$28&lt;40,0.4,IF($E$28&lt;60,0.25,IF($E$28&lt;=80,-0.06,-0.4))))</f>
        <v>0.25</v>
      </c>
      <c r="F30" s="96"/>
      <c r="G30" s="96"/>
      <c r="H30" s="7"/>
      <c r="I30" s="7"/>
      <c r="J30" s="7"/>
      <c r="K30" s="7"/>
    </row>
    <row r="31" spans="1:11">
      <c r="A31" s="96"/>
      <c r="B31" s="292" t="s">
        <v>483</v>
      </c>
      <c r="C31" s="96"/>
      <c r="D31" s="96" t="s">
        <v>229</v>
      </c>
      <c r="E31" s="96">
        <f>IF($E$28&lt;22.5,-0.4,IF($E$28&lt;40,-0.06,IF($E$28&lt;60,0.25,IF($E$28&lt;=80,0.3,0.4))))</f>
        <v>0.25</v>
      </c>
      <c r="F31" s="96"/>
      <c r="G31" s="96"/>
      <c r="H31" s="7"/>
      <c r="I31" s="7"/>
      <c r="J31" s="7"/>
      <c r="K31" s="7"/>
    </row>
    <row r="32" spans="1:11">
      <c r="A32" s="96"/>
      <c r="B32" s="292" t="s">
        <v>483</v>
      </c>
      <c r="C32" s="96"/>
      <c r="D32" s="96" t="s">
        <v>184</v>
      </c>
      <c r="E32" s="96">
        <f>IF($E$28&lt;22.5,-0.25,IF($E$28&lt;40,-0.4,IF($E$28&lt;60,-0.45,IF($E$28&lt;=80,-0.55,-0.4))))</f>
        <v>-0.45</v>
      </c>
      <c r="F32" s="96"/>
      <c r="G32" s="96"/>
      <c r="H32" s="7"/>
      <c r="I32" s="7"/>
      <c r="J32" s="7"/>
      <c r="K32" s="7"/>
    </row>
    <row r="33" spans="1:11">
      <c r="A33" s="96"/>
      <c r="B33" s="292" t="s">
        <v>483</v>
      </c>
      <c r="C33" s="96"/>
      <c r="D33" s="96" t="s">
        <v>230</v>
      </c>
      <c r="E33" s="96">
        <f>IF($E$28&lt;22.5,-0.4,IF($E$28&lt;40,-0.6,IF($E$28&lt;60,-0.45,IF($E$28&lt;=80,-0.4,-0.25))))</f>
        <v>-0.45</v>
      </c>
      <c r="F33" s="96"/>
      <c r="G33" s="96"/>
      <c r="H33" s="7"/>
      <c r="I33" s="7"/>
      <c r="J33" s="7"/>
      <c r="K33" s="7"/>
    </row>
    <row r="34" spans="1:11">
      <c r="A34" s="96"/>
      <c r="B34" s="292" t="s">
        <v>485</v>
      </c>
      <c r="C34" s="96"/>
      <c r="D34" s="96" t="s">
        <v>186</v>
      </c>
      <c r="E34" s="96">
        <v>-0.3</v>
      </c>
      <c r="F34" s="292" t="s">
        <v>578</v>
      </c>
      <c r="G34" s="96"/>
      <c r="H34" s="7"/>
      <c r="I34" s="7"/>
      <c r="J34" s="7"/>
      <c r="K34" s="7"/>
    </row>
    <row r="35" spans="1:11">
      <c r="A35" s="96"/>
      <c r="B35" s="96"/>
      <c r="C35" s="96"/>
      <c r="D35" s="96"/>
      <c r="E35" s="96"/>
      <c r="F35" s="96"/>
      <c r="G35" s="96"/>
      <c r="H35" s="7"/>
      <c r="I35" s="7"/>
      <c r="J35" s="7"/>
      <c r="K35" s="7"/>
    </row>
    <row r="36" spans="1:11">
      <c r="A36" s="96"/>
      <c r="B36" s="96"/>
      <c r="C36" s="96"/>
      <c r="D36" s="96"/>
      <c r="E36" s="292" t="s">
        <v>522</v>
      </c>
      <c r="F36" s="96"/>
      <c r="G36" s="96"/>
      <c r="H36" s="7"/>
      <c r="I36" s="292" t="s">
        <v>523</v>
      </c>
      <c r="J36" s="7"/>
      <c r="K36" s="7"/>
    </row>
    <row r="37" spans="1:11">
      <c r="A37" s="96"/>
      <c r="B37" s="96"/>
      <c r="C37" s="96"/>
      <c r="D37" s="96"/>
      <c r="E37" s="96" t="s">
        <v>525</v>
      </c>
      <c r="F37" s="96"/>
      <c r="G37" s="96"/>
      <c r="H37" s="7"/>
      <c r="I37" s="7" t="s">
        <v>524</v>
      </c>
      <c r="J37" s="7"/>
      <c r="K37" s="7"/>
    </row>
    <row r="38" spans="1:11">
      <c r="A38" s="96"/>
      <c r="B38" s="96"/>
      <c r="C38" s="96"/>
      <c r="D38" s="96"/>
      <c r="E38" s="96" t="str">
        <f>+F28</f>
        <v xml:space="preserve">   Lado "a" sería:</v>
      </c>
      <c r="F38" s="96"/>
      <c r="G38" s="96" t="str">
        <f>+H28</f>
        <v>E</v>
      </c>
      <c r="H38" s="96"/>
      <c r="I38" s="7"/>
      <c r="J38" s="7"/>
      <c r="K38" s="7"/>
    </row>
    <row r="39" spans="1:11">
      <c r="A39" s="96"/>
      <c r="B39" s="96"/>
      <c r="C39" s="96"/>
      <c r="D39" s="96"/>
      <c r="E39" s="96"/>
      <c r="F39" s="96"/>
      <c r="G39" s="96"/>
      <c r="H39" s="96"/>
      <c r="I39" s="96"/>
      <c r="J39" s="96"/>
      <c r="K39" s="96"/>
    </row>
    <row r="40" spans="1:11">
      <c r="A40" s="96"/>
      <c r="B40" s="96"/>
      <c r="C40" s="96"/>
      <c r="D40" s="96"/>
      <c r="E40" s="292" t="s">
        <v>475</v>
      </c>
      <c r="F40" s="96"/>
      <c r="G40" s="140" t="s">
        <v>476</v>
      </c>
      <c r="H40" s="7">
        <f>+E30-E32</f>
        <v>0.7</v>
      </c>
      <c r="I40" s="140" t="s">
        <v>486</v>
      </c>
      <c r="J40" s="7"/>
      <c r="K40" s="7"/>
    </row>
    <row r="41" spans="1:11">
      <c r="A41" s="96"/>
      <c r="B41" s="96"/>
      <c r="C41" s="96"/>
      <c r="D41" s="96"/>
      <c r="E41" s="292" t="s">
        <v>481</v>
      </c>
      <c r="F41" s="96"/>
      <c r="G41" s="140" t="s">
        <v>477</v>
      </c>
      <c r="H41" s="7">
        <f>+E30-E31</f>
        <v>0</v>
      </c>
      <c r="I41" s="140" t="s">
        <v>487</v>
      </c>
      <c r="J41" s="7"/>
      <c r="K41" s="7"/>
    </row>
    <row r="42" spans="1:11">
      <c r="A42" s="96"/>
      <c r="B42" s="96"/>
      <c r="C42" s="96"/>
      <c r="D42" s="96"/>
      <c r="E42" s="292" t="s">
        <v>482</v>
      </c>
      <c r="F42" s="96"/>
      <c r="G42" s="140" t="s">
        <v>478</v>
      </c>
      <c r="H42" s="7">
        <f>+E30-E33</f>
        <v>0.7</v>
      </c>
      <c r="I42" s="140" t="s">
        <v>488</v>
      </c>
      <c r="J42" s="7"/>
      <c r="K42" s="7"/>
    </row>
    <row r="43" spans="1:11">
      <c r="A43" s="96"/>
      <c r="B43" s="96"/>
      <c r="C43" s="96"/>
      <c r="D43" s="96"/>
      <c r="E43" s="292" t="s">
        <v>480</v>
      </c>
      <c r="F43" s="96"/>
      <c r="G43" s="140" t="s">
        <v>479</v>
      </c>
      <c r="H43" s="7">
        <f>+E30-E34</f>
        <v>0.55000000000000004</v>
      </c>
      <c r="I43" s="140" t="s">
        <v>489</v>
      </c>
      <c r="J43" s="7"/>
      <c r="K43" s="7"/>
    </row>
    <row r="44" spans="1:11">
      <c r="A44" s="96"/>
      <c r="B44" s="96"/>
      <c r="C44" s="96"/>
      <c r="D44" s="96"/>
      <c r="E44" s="96"/>
      <c r="F44" s="96"/>
      <c r="G44" s="96"/>
      <c r="H44" s="7"/>
      <c r="I44" s="7"/>
      <c r="J44" s="7"/>
      <c r="K44" s="7"/>
    </row>
    <row r="45" spans="1:11">
      <c r="A45" s="96"/>
      <c r="B45" s="96"/>
      <c r="C45" s="96"/>
      <c r="D45" s="96"/>
      <c r="E45" s="96"/>
      <c r="F45" s="96"/>
      <c r="G45" s="96"/>
      <c r="H45" s="7"/>
      <c r="I45" s="7"/>
      <c r="J45" s="7"/>
      <c r="K45" s="7"/>
    </row>
    <row r="46" spans="1:11">
      <c r="A46" s="96"/>
      <c r="B46" s="96"/>
      <c r="C46" s="96"/>
      <c r="D46" s="96"/>
      <c r="E46" s="96"/>
      <c r="F46" s="96"/>
      <c r="G46" s="96"/>
      <c r="H46" s="7"/>
      <c r="I46" s="7"/>
      <c r="J46" s="7"/>
      <c r="K46" s="7"/>
    </row>
    <row r="47" spans="1:11">
      <c r="A47" s="96"/>
      <c r="B47" s="96"/>
      <c r="C47" s="96"/>
      <c r="D47" s="96"/>
      <c r="E47" s="96"/>
      <c r="F47" s="96"/>
      <c r="G47" s="96"/>
      <c r="H47" s="7"/>
      <c r="I47" s="7"/>
      <c r="J47" s="7"/>
      <c r="K47" s="7"/>
    </row>
    <row r="48" spans="1:11">
      <c r="A48" s="96"/>
      <c r="B48" s="96"/>
      <c r="C48" s="96"/>
      <c r="D48" s="96"/>
      <c r="E48" s="96"/>
      <c r="F48" s="96"/>
      <c r="G48" s="96"/>
      <c r="H48" s="7"/>
      <c r="I48" s="7"/>
      <c r="J48" s="7"/>
      <c r="K48" s="7"/>
    </row>
    <row r="49" spans="1:11">
      <c r="A49" s="96"/>
      <c r="B49" s="96"/>
      <c r="C49" s="96"/>
      <c r="D49" s="96"/>
      <c r="E49" s="96"/>
      <c r="F49" s="96"/>
      <c r="G49" s="96"/>
      <c r="H49" s="7"/>
      <c r="I49" s="7"/>
      <c r="J49" s="7"/>
      <c r="K49" s="7"/>
    </row>
    <row r="50" spans="1:11">
      <c r="A50" s="96"/>
      <c r="B50" s="96"/>
      <c r="C50" s="96"/>
      <c r="D50" s="96"/>
      <c r="E50" s="96"/>
      <c r="F50" s="96"/>
      <c r="G50" s="96"/>
      <c r="H50" s="7"/>
      <c r="I50" s="7"/>
      <c r="J50" s="7"/>
      <c r="K50" s="7"/>
    </row>
    <row r="51" spans="1:11">
      <c r="A51" s="96"/>
      <c r="B51" s="96"/>
      <c r="C51" s="96"/>
      <c r="D51" s="96"/>
      <c r="E51" s="96"/>
      <c r="F51" s="96"/>
      <c r="G51" s="96"/>
      <c r="H51" s="7"/>
      <c r="I51" s="7"/>
      <c r="J51" s="7"/>
      <c r="K51" s="7"/>
    </row>
    <row r="52" spans="1:11">
      <c r="A52" s="96"/>
      <c r="B52" s="96"/>
      <c r="C52" s="96"/>
      <c r="D52" s="96"/>
      <c r="E52" s="96"/>
      <c r="F52" s="96"/>
      <c r="G52" s="96"/>
      <c r="H52" s="7"/>
      <c r="I52" s="7"/>
      <c r="J52" s="7"/>
      <c r="K52" s="7"/>
    </row>
    <row r="53" spans="1:11">
      <c r="A53" s="96" t="s">
        <v>231</v>
      </c>
      <c r="B53" s="96"/>
      <c r="C53" s="96"/>
      <c r="D53" s="96"/>
      <c r="E53" s="96"/>
      <c r="F53" s="96"/>
      <c r="G53" s="96"/>
      <c r="H53" s="7"/>
      <c r="I53" s="7"/>
      <c r="J53" s="7"/>
      <c r="K53" s="7"/>
    </row>
    <row r="54" spans="1:11">
      <c r="A54" s="96" t="s">
        <v>232</v>
      </c>
      <c r="B54" s="96"/>
      <c r="C54" s="96"/>
      <c r="D54" s="96"/>
      <c r="E54" s="90">
        <f>+E30-E32</f>
        <v>0.7</v>
      </c>
      <c r="F54" s="96"/>
      <c r="G54" s="292" t="s">
        <v>491</v>
      </c>
      <c r="H54" s="7"/>
      <c r="I54" s="7"/>
      <c r="J54" s="7"/>
      <c r="K54" s="7"/>
    </row>
    <row r="55" spans="1:11">
      <c r="A55" s="96"/>
      <c r="B55" s="96"/>
      <c r="C55" s="96"/>
      <c r="D55" s="96"/>
      <c r="E55" s="96"/>
      <c r="F55" s="96"/>
      <c r="G55" s="292" t="s">
        <v>490</v>
      </c>
      <c r="H55" s="7"/>
      <c r="I55" s="7"/>
      <c r="J55" s="7"/>
      <c r="K55" s="7"/>
    </row>
    <row r="56" spans="1:11">
      <c r="A56" s="292" t="s">
        <v>492</v>
      </c>
      <c r="B56" s="96"/>
      <c r="C56" s="96"/>
      <c r="D56" s="96"/>
      <c r="E56" s="96"/>
      <c r="F56" s="96"/>
      <c r="G56" s="96"/>
      <c r="H56" s="7"/>
      <c r="I56" s="7"/>
      <c r="J56" s="7"/>
      <c r="K56" s="7"/>
    </row>
    <row r="57" spans="1:11">
      <c r="A57" s="96"/>
      <c r="B57" s="96"/>
      <c r="C57" s="96"/>
      <c r="D57" s="96"/>
      <c r="E57" s="96"/>
      <c r="F57" s="96"/>
      <c r="G57" s="96"/>
      <c r="H57" s="7"/>
      <c r="I57" s="7"/>
      <c r="J57" s="7"/>
      <c r="K57" s="7"/>
    </row>
    <row r="58" spans="1:11">
      <c r="A58" s="96"/>
      <c r="B58" s="96" t="s">
        <v>467</v>
      </c>
      <c r="C58" s="96"/>
      <c r="D58" s="96"/>
      <c r="E58" s="90">
        <v>12</v>
      </c>
      <c r="F58" s="96" t="s">
        <v>469</v>
      </c>
      <c r="G58" s="292" t="s">
        <v>613</v>
      </c>
      <c r="H58" s="7"/>
      <c r="I58" s="7"/>
      <c r="J58" s="7"/>
      <c r="K58" s="7"/>
    </row>
    <row r="59" spans="1:11">
      <c r="A59" s="96"/>
      <c r="B59" s="96" t="s">
        <v>468</v>
      </c>
      <c r="C59" s="96"/>
      <c r="D59" s="96"/>
      <c r="E59" s="90">
        <v>6</v>
      </c>
      <c r="F59" s="96" t="s">
        <v>469</v>
      </c>
      <c r="G59" s="96" t="s">
        <v>611</v>
      </c>
      <c r="H59" s="7"/>
      <c r="I59" s="7"/>
      <c r="J59" s="7"/>
      <c r="K59" s="7"/>
    </row>
    <row r="60" spans="1:11">
      <c r="A60" s="96"/>
      <c r="B60" s="96" t="s">
        <v>233</v>
      </c>
      <c r="C60" s="96"/>
      <c r="D60" s="96"/>
      <c r="E60" s="96">
        <f>+E58/E59</f>
        <v>2</v>
      </c>
      <c r="F60" s="96" t="s">
        <v>2</v>
      </c>
      <c r="G60" s="96" t="s">
        <v>612</v>
      </c>
      <c r="H60" s="7"/>
      <c r="I60" s="7"/>
      <c r="J60" s="7"/>
      <c r="K60" s="7"/>
    </row>
    <row r="61" spans="1:11">
      <c r="A61" s="96"/>
      <c r="B61" s="96" t="s">
        <v>234</v>
      </c>
      <c r="C61" s="96"/>
      <c r="D61" s="96"/>
      <c r="E61" s="96">
        <f>IF(E60&lt;=6,0.0304+0.1689*E60,0.0304+0.1689*6)</f>
        <v>0.36819999999999997</v>
      </c>
      <c r="F61" s="96" t="s">
        <v>2</v>
      </c>
      <c r="G61" s="96"/>
      <c r="H61" s="7"/>
      <c r="I61" s="7"/>
      <c r="J61" s="7"/>
      <c r="K61" s="7"/>
    </row>
    <row r="62" spans="1:11">
      <c r="A62" s="96"/>
      <c r="B62" s="96" t="s">
        <v>235</v>
      </c>
      <c r="C62" s="96"/>
      <c r="D62" s="96"/>
      <c r="E62" s="96">
        <f>IF(E60&lt;=6,0.0421+0.2264*E60,0.0421+0.2264*6)</f>
        <v>0.49490000000000001</v>
      </c>
      <c r="F62" s="96"/>
      <c r="G62" s="96"/>
      <c r="H62" s="7"/>
      <c r="I62" s="7"/>
      <c r="J62" s="7"/>
      <c r="K62" s="7"/>
    </row>
    <row r="63" spans="1:11">
      <c r="A63" s="96"/>
      <c r="B63" s="96"/>
      <c r="C63" s="96"/>
      <c r="D63" s="96"/>
      <c r="E63" s="96"/>
      <c r="F63" s="96"/>
      <c r="G63" s="96"/>
      <c r="H63" s="7"/>
      <c r="I63" s="7"/>
      <c r="J63" s="7"/>
      <c r="K63" s="7"/>
    </row>
    <row r="64" spans="1:11">
      <c r="A64" s="96" t="s">
        <v>236</v>
      </c>
      <c r="B64" s="96"/>
      <c r="C64" s="96"/>
      <c r="D64" s="96"/>
      <c r="E64" s="96"/>
      <c r="F64" s="96"/>
      <c r="G64" s="96"/>
      <c r="H64" s="7"/>
      <c r="I64" s="7"/>
      <c r="J64" s="7"/>
      <c r="K64" s="7"/>
    </row>
    <row r="65" spans="1:11">
      <c r="A65" s="96"/>
      <c r="B65" s="96" t="s">
        <v>237</v>
      </c>
      <c r="C65" s="96"/>
      <c r="D65" s="96"/>
      <c r="E65" s="96">
        <f>+E61*E54</f>
        <v>0.25773999999999997</v>
      </c>
      <c r="F65" s="96"/>
      <c r="G65" s="96"/>
      <c r="H65" s="7"/>
      <c r="I65" s="7"/>
      <c r="J65" s="7"/>
      <c r="K65" s="7"/>
    </row>
    <row r="66" spans="1:11">
      <c r="A66" s="96"/>
      <c r="B66" s="96" t="s">
        <v>238</v>
      </c>
      <c r="C66" s="96"/>
      <c r="D66" s="96"/>
      <c r="E66" s="96">
        <f>+E62*E54</f>
        <v>0.34642999999999996</v>
      </c>
      <c r="F66" s="96"/>
      <c r="G66" s="96"/>
      <c r="H66" s="7"/>
      <c r="I66" s="7"/>
      <c r="J66" s="7"/>
      <c r="K66" s="7"/>
    </row>
    <row r="67" spans="1:11">
      <c r="A67" s="96"/>
      <c r="B67" s="96"/>
      <c r="C67" s="96"/>
      <c r="D67" s="96"/>
      <c r="E67" s="96"/>
      <c r="F67" s="96"/>
      <c r="G67" s="96"/>
      <c r="H67" s="7"/>
      <c r="I67" s="7"/>
      <c r="J67" s="7"/>
      <c r="K67" s="7"/>
    </row>
    <row r="68" spans="1:11">
      <c r="A68" s="96" t="s">
        <v>239</v>
      </c>
      <c r="B68" s="96"/>
      <c r="C68" s="96"/>
      <c r="D68" s="96"/>
      <c r="E68" s="96"/>
      <c r="F68" s="127"/>
      <c r="G68" s="127"/>
      <c r="H68" s="7"/>
      <c r="I68" s="7"/>
      <c r="J68" s="7"/>
      <c r="K68" s="7"/>
    </row>
    <row r="69" spans="1:11">
      <c r="A69" s="96"/>
      <c r="B69" s="96"/>
      <c r="C69" s="96"/>
      <c r="D69" s="96" t="s">
        <v>470</v>
      </c>
      <c r="E69" s="96"/>
      <c r="F69" s="291" t="s">
        <v>493</v>
      </c>
      <c r="G69" s="291" t="s">
        <v>494</v>
      </c>
      <c r="H69" s="7"/>
      <c r="I69" s="7"/>
      <c r="J69" s="7"/>
      <c r="K69" s="7"/>
    </row>
    <row r="70" spans="1:11">
      <c r="A70" s="96"/>
      <c r="B70" s="96"/>
      <c r="C70" s="96"/>
      <c r="D70" s="96"/>
      <c r="E70" s="96"/>
      <c r="F70" s="127"/>
      <c r="G70" s="127"/>
      <c r="H70" s="7"/>
      <c r="I70" s="7"/>
      <c r="J70" s="7"/>
      <c r="K70" s="7"/>
    </row>
    <row r="71" spans="1:11">
      <c r="A71" s="96"/>
      <c r="B71" s="96" t="s">
        <v>240</v>
      </c>
      <c r="C71" s="96"/>
      <c r="D71" s="96"/>
      <c r="E71" s="96"/>
      <c r="F71" s="127">
        <v>1.3</v>
      </c>
      <c r="G71" s="127">
        <v>0.98</v>
      </c>
      <c r="H71" s="7"/>
      <c r="I71" s="7"/>
      <c r="J71" s="7"/>
      <c r="K71" s="7"/>
    </row>
    <row r="72" spans="1:11">
      <c r="A72" s="96"/>
      <c r="B72" s="96" t="s">
        <v>241</v>
      </c>
      <c r="C72" s="96"/>
      <c r="D72" s="96"/>
      <c r="E72" s="96"/>
      <c r="F72" s="127">
        <v>1</v>
      </c>
      <c r="G72" s="127">
        <v>0.75</v>
      </c>
      <c r="H72" s="7"/>
      <c r="I72" s="7"/>
      <c r="J72" s="7"/>
      <c r="K72" s="7"/>
    </row>
    <row r="73" spans="1:11">
      <c r="A73" s="96"/>
      <c r="B73" s="96" t="s">
        <v>242</v>
      </c>
      <c r="C73" s="96"/>
      <c r="D73" s="96"/>
      <c r="E73" s="96"/>
      <c r="F73" s="127">
        <v>0.85</v>
      </c>
      <c r="G73" s="127">
        <v>0.64</v>
      </c>
      <c r="H73" s="7"/>
      <c r="I73" s="7"/>
      <c r="J73" s="7"/>
      <c r="K73" s="7"/>
    </row>
    <row r="74" spans="1:11">
      <c r="A74" s="96"/>
      <c r="B74" s="96" t="s">
        <v>243</v>
      </c>
      <c r="C74" s="96"/>
      <c r="D74" s="96"/>
      <c r="E74" s="96"/>
      <c r="F74" s="127">
        <v>0.67</v>
      </c>
      <c r="G74" s="127">
        <v>0.5</v>
      </c>
      <c r="H74" s="7"/>
      <c r="I74" s="7"/>
      <c r="J74" s="7"/>
      <c r="K74" s="7"/>
    </row>
    <row r="75" spans="1:11">
      <c r="A75" s="96"/>
      <c r="B75" s="96" t="s">
        <v>244</v>
      </c>
      <c r="C75" s="96"/>
      <c r="D75" s="96"/>
      <c r="E75" s="96"/>
      <c r="F75" s="127">
        <v>0.47</v>
      </c>
      <c r="G75" s="127">
        <v>0.35</v>
      </c>
      <c r="H75" s="7"/>
      <c r="I75" s="7"/>
      <c r="J75" s="7"/>
      <c r="K75" s="7"/>
    </row>
    <row r="76" spans="1:11">
      <c r="A76" s="96"/>
      <c r="B76" s="96"/>
      <c r="C76" s="96"/>
      <c r="D76" s="96"/>
      <c r="E76" s="96"/>
      <c r="F76" s="96"/>
      <c r="G76" s="96"/>
      <c r="H76" s="7"/>
      <c r="I76" s="7"/>
      <c r="J76" s="7"/>
      <c r="K76" s="7"/>
    </row>
    <row r="77" spans="1:11">
      <c r="A77" s="96"/>
      <c r="B77" s="96" t="s">
        <v>245</v>
      </c>
      <c r="C77" s="96" t="s">
        <v>2</v>
      </c>
      <c r="D77" s="90">
        <v>0.85</v>
      </c>
      <c r="E77" s="96"/>
      <c r="F77" s="96"/>
      <c r="G77" s="96"/>
      <c r="H77" s="7"/>
      <c r="I77" s="7"/>
      <c r="J77" s="7"/>
      <c r="K77" s="7"/>
    </row>
    <row r="78" spans="1:11">
      <c r="A78" s="96"/>
      <c r="B78" s="96"/>
      <c r="C78" s="96"/>
      <c r="D78" s="96"/>
      <c r="E78" s="96"/>
      <c r="F78" s="96"/>
      <c r="G78" s="96"/>
      <c r="H78" s="7"/>
      <c r="I78" s="7"/>
      <c r="J78" s="7"/>
      <c r="K78" s="7"/>
    </row>
    <row r="79" spans="1:11">
      <c r="A79" s="96" t="s">
        <v>246</v>
      </c>
      <c r="B79" s="96"/>
      <c r="C79" s="96"/>
      <c r="D79" s="96"/>
      <c r="E79" s="96"/>
      <c r="F79" s="96"/>
      <c r="G79" s="96"/>
      <c r="H79" s="7"/>
      <c r="I79" s="7"/>
      <c r="J79" s="7"/>
      <c r="K79" s="7"/>
    </row>
    <row r="80" spans="1:11">
      <c r="A80" s="96"/>
      <c r="B80" s="96"/>
      <c r="C80" s="96"/>
      <c r="D80" s="96">
        <f>+E26*D77*1000</f>
        <v>7649.9999999999991</v>
      </c>
      <c r="E80" s="96" t="s">
        <v>256</v>
      </c>
      <c r="F80" s="96"/>
      <c r="G80" s="96"/>
      <c r="H80" s="7"/>
      <c r="I80" s="7"/>
      <c r="J80" s="7"/>
      <c r="K80" s="7"/>
    </row>
    <row r="81" spans="1:11">
      <c r="A81" s="96"/>
      <c r="B81" s="96"/>
      <c r="C81" s="96"/>
      <c r="D81" s="96"/>
      <c r="E81" s="96"/>
      <c r="F81" s="96"/>
      <c r="G81" s="96"/>
      <c r="H81" s="7"/>
      <c r="I81" s="7"/>
      <c r="J81" s="7"/>
      <c r="K81" s="7"/>
    </row>
    <row r="82" spans="1:11">
      <c r="A82" s="96" t="s">
        <v>247</v>
      </c>
      <c r="B82" s="96"/>
      <c r="C82" s="96"/>
      <c r="D82" s="96"/>
      <c r="E82" s="96"/>
      <c r="F82" s="96"/>
      <c r="G82" s="96"/>
      <c r="H82" s="7"/>
      <c r="I82" s="7"/>
      <c r="J82" s="7"/>
      <c r="K82" s="7"/>
    </row>
    <row r="83" spans="1:11">
      <c r="A83" s="96"/>
      <c r="B83" s="96"/>
      <c r="C83" s="96"/>
      <c r="D83" s="96"/>
      <c r="E83" s="96"/>
      <c r="F83" s="96"/>
      <c r="G83" s="96"/>
      <c r="H83" s="7"/>
      <c r="I83" s="7"/>
      <c r="J83" s="7"/>
      <c r="K83" s="7"/>
    </row>
    <row r="84" spans="1:11">
      <c r="A84" s="96" t="s">
        <v>248</v>
      </c>
      <c r="B84" s="96"/>
      <c r="C84" s="96"/>
      <c r="D84" s="98">
        <f>1.56*$E$24/($D$80*SQRT(E65))</f>
        <v>2.103961290320282</v>
      </c>
      <c r="E84" s="96" t="s">
        <v>27</v>
      </c>
      <c r="F84" s="96"/>
      <c r="G84" s="96"/>
      <c r="H84" s="7"/>
      <c r="I84" s="7"/>
      <c r="J84" s="7"/>
      <c r="K84" s="7"/>
    </row>
    <row r="85" spans="1:11">
      <c r="A85" s="292" t="s">
        <v>573</v>
      </c>
      <c r="B85" s="96"/>
      <c r="C85" s="96"/>
      <c r="D85" s="98">
        <f>1.56*$E$24/($D$80*SQRT(E66))</f>
        <v>1.8147671545629873</v>
      </c>
      <c r="E85" s="96" t="s">
        <v>27</v>
      </c>
      <c r="F85" s="96"/>
      <c r="G85" s="96"/>
      <c r="H85" s="7"/>
      <c r="I85" s="7"/>
      <c r="J85" s="7"/>
      <c r="K85" s="7"/>
    </row>
    <row r="86" spans="1:11" ht="13.5" thickBot="1">
      <c r="A86" s="96"/>
      <c r="B86" s="96"/>
      <c r="C86" s="96"/>
      <c r="D86" s="98"/>
      <c r="E86" s="96"/>
      <c r="F86" s="96"/>
      <c r="G86" s="96"/>
      <c r="H86" s="7"/>
      <c r="I86" s="7"/>
      <c r="J86" s="7"/>
      <c r="K86" s="7"/>
    </row>
    <row r="87" spans="1:11">
      <c r="A87" s="270" t="s">
        <v>497</v>
      </c>
      <c r="B87" s="263"/>
      <c r="C87" s="263"/>
      <c r="D87" s="271"/>
      <c r="E87" s="264"/>
      <c r="F87" s="96"/>
      <c r="G87" s="96"/>
      <c r="H87" s="7"/>
      <c r="I87" s="7"/>
      <c r="J87" s="7"/>
      <c r="K87" s="7"/>
    </row>
    <row r="88" spans="1:11">
      <c r="A88" s="265" t="s">
        <v>248</v>
      </c>
      <c r="B88" s="104"/>
      <c r="C88" s="104"/>
      <c r="D88" s="352">
        <f>+D84*1.41</f>
        <v>2.9665854193515973</v>
      </c>
      <c r="E88" s="266" t="s">
        <v>27</v>
      </c>
      <c r="F88" s="96"/>
      <c r="G88" s="96"/>
      <c r="H88" s="7"/>
      <c r="I88" s="7"/>
      <c r="J88" s="7"/>
      <c r="K88" s="7"/>
    </row>
    <row r="89" spans="1:11" ht="13.5" thickBot="1">
      <c r="A89" s="367" t="s">
        <v>573</v>
      </c>
      <c r="B89" s="274"/>
      <c r="C89" s="274"/>
      <c r="D89" s="353">
        <f>+D85*1.41</f>
        <v>2.5588216879338122</v>
      </c>
      <c r="E89" s="269" t="s">
        <v>27</v>
      </c>
      <c r="F89" s="96"/>
      <c r="G89" s="96"/>
      <c r="H89" s="7"/>
      <c r="I89" s="7"/>
      <c r="J89" s="7"/>
      <c r="K89" s="7"/>
    </row>
    <row r="90" spans="1:11">
      <c r="A90" s="469"/>
      <c r="B90" s="104"/>
      <c r="C90" s="104"/>
      <c r="D90" s="352"/>
      <c r="E90" s="104"/>
      <c r="F90" s="96"/>
      <c r="G90" s="96"/>
      <c r="H90" s="7"/>
      <c r="I90" s="7"/>
      <c r="J90" s="7"/>
      <c r="K90" s="7"/>
    </row>
    <row r="91" spans="1:11">
      <c r="A91" s="292" t="s">
        <v>614</v>
      </c>
      <c r="B91" s="96"/>
      <c r="C91" s="96"/>
      <c r="D91" s="98"/>
      <c r="E91" s="96"/>
      <c r="F91" s="96"/>
      <c r="G91" s="96"/>
      <c r="H91" s="7"/>
      <c r="I91" s="7"/>
      <c r="J91" s="7"/>
      <c r="K91" s="7"/>
    </row>
    <row r="92" spans="1:11">
      <c r="A92" s="292" t="s">
        <v>499</v>
      </c>
      <c r="B92" s="96"/>
      <c r="C92" s="96"/>
      <c r="D92" s="98"/>
      <c r="E92" s="96"/>
      <c r="F92" s="96"/>
      <c r="G92" s="96"/>
      <c r="H92" s="7"/>
      <c r="I92" s="7"/>
      <c r="J92" s="7"/>
      <c r="K92" s="7"/>
    </row>
    <row r="93" spans="1:11">
      <c r="A93" s="292" t="s">
        <v>500</v>
      </c>
      <c r="B93" s="96"/>
      <c r="C93" s="96"/>
      <c r="D93" s="98"/>
      <c r="E93" s="96"/>
      <c r="F93" s="96"/>
      <c r="G93" s="96"/>
      <c r="H93" s="7"/>
      <c r="I93" s="7"/>
      <c r="J93" s="7"/>
      <c r="K93" s="7"/>
    </row>
    <row r="94" spans="1:11">
      <c r="A94" s="96"/>
      <c r="B94" s="96"/>
      <c r="C94" s="96"/>
      <c r="D94" s="98"/>
      <c r="E94" s="96"/>
      <c r="F94" s="96"/>
      <c r="G94" s="96"/>
      <c r="H94" s="7"/>
      <c r="I94" s="7"/>
      <c r="J94" s="7"/>
      <c r="K94" s="7"/>
    </row>
    <row r="95" spans="1:11">
      <c r="A95" s="292" t="s">
        <v>501</v>
      </c>
      <c r="B95" s="96"/>
      <c r="C95" s="96"/>
      <c r="D95" s="98"/>
      <c r="E95" s="96"/>
      <c r="F95" s="96"/>
      <c r="G95" s="96"/>
      <c r="H95" s="7"/>
      <c r="I95" s="7"/>
      <c r="J95" s="7"/>
      <c r="K95" s="7"/>
    </row>
    <row r="96" spans="1:11">
      <c r="A96" s="96" t="s">
        <v>248</v>
      </c>
      <c r="B96" s="96"/>
      <c r="C96" s="96"/>
      <c r="D96" s="98">
        <f>+D88*2</f>
        <v>5.9331708387031945</v>
      </c>
      <c r="E96" s="96" t="s">
        <v>27</v>
      </c>
      <c r="F96" s="96"/>
      <c r="G96" s="96"/>
      <c r="H96" s="7"/>
      <c r="I96" s="7"/>
      <c r="J96" s="7"/>
      <c r="K96" s="7"/>
    </row>
    <row r="97" spans="1:11">
      <c r="A97" s="292" t="s">
        <v>573</v>
      </c>
      <c r="B97" s="96"/>
      <c r="C97" s="96"/>
      <c r="D97" s="98">
        <f>+D89*2</f>
        <v>5.1176433758676243</v>
      </c>
      <c r="E97" s="96" t="s">
        <v>27</v>
      </c>
      <c r="F97" s="96"/>
      <c r="G97" s="96"/>
      <c r="H97" s="7"/>
      <c r="I97" s="7"/>
      <c r="J97" s="7"/>
      <c r="K97" s="7"/>
    </row>
    <row r="98" spans="1:11">
      <c r="A98" s="96"/>
      <c r="B98" s="96"/>
      <c r="C98" s="96"/>
      <c r="D98" s="96"/>
      <c r="E98" s="96"/>
      <c r="F98" s="96"/>
      <c r="G98" s="96"/>
      <c r="H98" s="7"/>
      <c r="I98" s="7"/>
      <c r="J98" s="7"/>
      <c r="K98" s="7"/>
    </row>
    <row r="99" spans="1:11">
      <c r="A99" s="96" t="s">
        <v>322</v>
      </c>
      <c r="B99" s="96"/>
      <c r="C99" s="96"/>
      <c r="D99" s="96"/>
      <c r="E99" s="96"/>
      <c r="F99" s="96"/>
      <c r="G99" s="96"/>
      <c r="H99" s="7"/>
      <c r="I99" s="7"/>
      <c r="J99" s="7"/>
      <c r="K99" s="7"/>
    </row>
    <row r="100" spans="1:11">
      <c r="A100" s="292" t="s">
        <v>615</v>
      </c>
      <c r="B100" s="96"/>
      <c r="C100" s="96"/>
      <c r="D100" s="96"/>
      <c r="E100" s="96"/>
      <c r="F100" s="96"/>
      <c r="G100" s="96"/>
      <c r="H100" s="7"/>
      <c r="I100" s="7"/>
      <c r="J100" s="7"/>
      <c r="K100" s="7"/>
    </row>
    <row r="101" spans="1:11">
      <c r="A101" s="96"/>
      <c r="B101" s="96"/>
      <c r="C101" s="96"/>
      <c r="D101" s="96"/>
      <c r="E101" s="96"/>
      <c r="F101" s="96"/>
      <c r="G101" s="96"/>
      <c r="H101" s="7"/>
      <c r="I101" s="7"/>
      <c r="J101" s="7"/>
      <c r="K101" s="7"/>
    </row>
    <row r="102" spans="1:11">
      <c r="A102" s="96" t="s">
        <v>249</v>
      </c>
      <c r="B102" s="96"/>
      <c r="C102" s="96"/>
      <c r="D102" s="96"/>
      <c r="E102" s="96"/>
      <c r="F102" s="96"/>
      <c r="G102" s="96"/>
      <c r="H102" s="7"/>
      <c r="I102" s="7"/>
      <c r="J102" s="7"/>
      <c r="K102" s="7"/>
    </row>
    <row r="103" spans="1:11">
      <c r="A103" s="96"/>
      <c r="B103" s="96"/>
      <c r="C103" s="96"/>
      <c r="D103" s="96"/>
      <c r="E103" s="96"/>
      <c r="F103" s="96"/>
      <c r="G103" s="96"/>
      <c r="H103" s="7"/>
      <c r="I103" s="7"/>
      <c r="J103" s="7"/>
      <c r="K103" s="7"/>
    </row>
    <row r="104" spans="1:11">
      <c r="A104" s="96" t="s">
        <v>250</v>
      </c>
      <c r="B104" s="96"/>
      <c r="C104" s="96"/>
      <c r="D104" s="96"/>
      <c r="E104" s="96"/>
      <c r="F104" s="96"/>
      <c r="G104" s="96"/>
      <c r="H104" s="7"/>
      <c r="I104" s="7"/>
      <c r="J104" s="7"/>
      <c r="K104" s="7"/>
    </row>
    <row r="105" spans="1:11">
      <c r="A105" s="96"/>
      <c r="B105" s="96"/>
      <c r="C105" s="96"/>
      <c r="D105" s="96"/>
      <c r="E105" s="96"/>
      <c r="F105" s="96"/>
      <c r="G105" s="96"/>
      <c r="H105" s="7"/>
      <c r="I105" s="7"/>
      <c r="J105" s="7"/>
      <c r="K105" s="7"/>
    </row>
    <row r="106" spans="1:11">
      <c r="A106" s="96" t="s">
        <v>251</v>
      </c>
      <c r="B106" s="96"/>
      <c r="C106" s="96">
        <v>1</v>
      </c>
      <c r="D106" s="96"/>
      <c r="E106" s="96"/>
      <c r="F106" s="96"/>
      <c r="G106" s="96"/>
      <c r="H106" s="7"/>
      <c r="I106" s="7"/>
      <c r="J106" s="7"/>
      <c r="K106" s="7"/>
    </row>
    <row r="107" spans="1:11">
      <c r="A107" s="96" t="s">
        <v>252</v>
      </c>
      <c r="B107" s="96"/>
      <c r="C107" s="96">
        <v>0.8</v>
      </c>
      <c r="D107" s="96"/>
      <c r="E107" s="96"/>
      <c r="F107" s="96"/>
      <c r="G107" s="96"/>
      <c r="H107" s="7"/>
      <c r="I107" s="7"/>
      <c r="J107" s="7"/>
      <c r="K107" s="7"/>
    </row>
    <row r="108" spans="1:11">
      <c r="A108" s="96" t="s">
        <v>253</v>
      </c>
      <c r="B108" s="96"/>
      <c r="C108" s="96">
        <v>0.6</v>
      </c>
      <c r="D108" s="96"/>
      <c r="E108" s="96"/>
      <c r="F108" s="96"/>
      <c r="G108" s="96"/>
      <c r="H108" s="7"/>
      <c r="I108" s="7"/>
      <c r="J108" s="7"/>
      <c r="K108" s="7"/>
    </row>
    <row r="109" spans="1:11">
      <c r="A109" s="96"/>
      <c r="B109" s="96"/>
      <c r="C109" s="96"/>
      <c r="D109" s="96"/>
      <c r="E109" s="96"/>
      <c r="F109" s="96"/>
      <c r="G109" s="96"/>
      <c r="H109" s="7"/>
      <c r="I109" s="7"/>
      <c r="J109" s="7"/>
      <c r="K109" s="7"/>
    </row>
    <row r="110" spans="1:11">
      <c r="A110" s="292" t="s">
        <v>506</v>
      </c>
      <c r="B110" s="96"/>
      <c r="C110" s="96"/>
      <c r="D110" s="96"/>
      <c r="E110" s="96"/>
      <c r="F110" s="96"/>
      <c r="G110" s="126" t="s">
        <v>2</v>
      </c>
      <c r="H110" s="126"/>
      <c r="I110" s="7"/>
      <c r="J110" s="7"/>
      <c r="K110" s="7"/>
    </row>
    <row r="111" spans="1:11" ht="13.5" thickBot="1">
      <c r="A111" s="292"/>
      <c r="B111" s="96"/>
      <c r="C111" s="96"/>
      <c r="D111" s="96"/>
      <c r="E111" s="96"/>
      <c r="F111" s="96"/>
      <c r="G111" s="126"/>
      <c r="H111" s="126"/>
      <c r="I111" s="7"/>
      <c r="J111" s="7"/>
      <c r="K111" s="7"/>
    </row>
    <row r="112" spans="1:11">
      <c r="A112" s="292"/>
      <c r="B112" s="96"/>
      <c r="C112" s="270" t="s">
        <v>503</v>
      </c>
      <c r="D112" s="264"/>
      <c r="E112" s="270" t="s">
        <v>504</v>
      </c>
      <c r="F112" s="300"/>
      <c r="G112" s="301" t="s">
        <v>505</v>
      </c>
      <c r="H112" s="28"/>
      <c r="I112" s="126"/>
      <c r="J112" s="7"/>
      <c r="K112" s="7"/>
    </row>
    <row r="113" spans="1:11" ht="13.5" thickBot="1">
      <c r="A113" s="292"/>
      <c r="B113" s="96"/>
      <c r="C113" s="302" t="s">
        <v>108</v>
      </c>
      <c r="D113" s="303" t="s">
        <v>502</v>
      </c>
      <c r="E113" s="302" t="s">
        <v>108</v>
      </c>
      <c r="F113" s="303" t="s">
        <v>502</v>
      </c>
      <c r="G113" s="302" t="s">
        <v>108</v>
      </c>
      <c r="H113" s="303" t="s">
        <v>502</v>
      </c>
      <c r="I113" s="126"/>
      <c r="J113" s="7"/>
      <c r="K113" s="7"/>
    </row>
    <row r="114" spans="1:11" ht="13.5" thickBot="1">
      <c r="A114" s="95"/>
      <c r="B114" s="304" t="s">
        <v>320</v>
      </c>
      <c r="C114" s="305">
        <f>+D88</f>
        <v>2.9665854193515973</v>
      </c>
      <c r="D114" s="306">
        <f>+D88/superficies!D23</f>
        <v>2.7185204301045568E-2</v>
      </c>
      <c r="E114" s="307">
        <f>+D96</f>
        <v>5.9331708387031945</v>
      </c>
      <c r="F114" s="306">
        <f>+D96/superficies!D23</f>
        <v>5.4370408602091136E-2</v>
      </c>
      <c r="G114" s="307">
        <f>+E114+C114</f>
        <v>8.8997562580547918</v>
      </c>
      <c r="H114" s="308">
        <f>+F114+D114</f>
        <v>8.1555612903136704E-2</v>
      </c>
      <c r="I114" s="7"/>
      <c r="J114" s="7"/>
      <c r="K114" s="7"/>
    </row>
    <row r="115" spans="1:11" ht="13.5" thickBot="1">
      <c r="A115" s="96"/>
      <c r="B115" s="309" t="s">
        <v>321</v>
      </c>
      <c r="C115" s="310">
        <f>+D89</f>
        <v>2.5588216879338122</v>
      </c>
      <c r="D115" s="311">
        <f>+D89/superficies!D23</f>
        <v>2.3448537804662658E-2</v>
      </c>
      <c r="E115" s="312">
        <f>+D97</f>
        <v>5.1176433758676243</v>
      </c>
      <c r="F115" s="311">
        <f>+D97/superficies!D23</f>
        <v>4.6897075609325316E-2</v>
      </c>
      <c r="G115" s="307">
        <f>+E115+C115</f>
        <v>7.6764650638014365</v>
      </c>
      <c r="H115" s="313">
        <f>+F115+D115</f>
        <v>7.034561341398797E-2</v>
      </c>
      <c r="I115" s="7"/>
      <c r="J115" s="7"/>
      <c r="K115" s="7"/>
    </row>
    <row r="116" spans="1:11">
      <c r="A116" s="96"/>
      <c r="B116" s="292" t="s">
        <v>508</v>
      </c>
      <c r="C116" s="96"/>
      <c r="D116" s="96"/>
      <c r="E116" s="96"/>
      <c r="F116" s="96"/>
      <c r="G116" s="7"/>
      <c r="H116" s="7"/>
      <c r="I116" s="7"/>
      <c r="J116" s="7"/>
      <c r="K116" s="7"/>
    </row>
    <row r="117" spans="1:11">
      <c r="A117" s="96"/>
      <c r="B117" s="292" t="s">
        <v>509</v>
      </c>
      <c r="C117" s="96"/>
      <c r="D117" s="96"/>
      <c r="E117" s="96"/>
      <c r="F117" s="96"/>
      <c r="G117" s="96"/>
      <c r="H117" s="7"/>
      <c r="I117" s="7"/>
      <c r="J117" s="7"/>
      <c r="K117" s="7"/>
    </row>
    <row r="118" spans="1:11">
      <c r="A118" s="96"/>
      <c r="B118" s="292"/>
      <c r="C118" s="96"/>
      <c r="D118" s="96"/>
      <c r="E118" s="96"/>
      <c r="F118" s="96"/>
      <c r="G118" s="96"/>
      <c r="H118" s="7"/>
      <c r="I118" s="7"/>
      <c r="J118" s="7"/>
      <c r="K118" s="7"/>
    </row>
    <row r="119" spans="1:11">
      <c r="A119" s="96" t="s">
        <v>254</v>
      </c>
      <c r="B119" s="96"/>
      <c r="C119" s="96"/>
      <c r="D119" s="96"/>
      <c r="E119" s="96"/>
      <c r="F119" s="96"/>
      <c r="G119" s="96"/>
      <c r="H119" s="7"/>
      <c r="I119" s="7"/>
      <c r="J119" s="7"/>
      <c r="K119" s="7"/>
    </row>
    <row r="120" spans="1:11">
      <c r="A120" s="96" t="s">
        <v>255</v>
      </c>
      <c r="B120" s="96"/>
      <c r="C120" s="96"/>
      <c r="D120" s="96"/>
      <c r="E120" s="96"/>
      <c r="F120" s="96"/>
      <c r="G120" s="96"/>
      <c r="H120" s="7"/>
      <c r="I120" s="7"/>
      <c r="J120" s="7"/>
      <c r="K120" s="7"/>
    </row>
    <row r="121" spans="1:11" ht="13.5" thickBot="1">
      <c r="A121" s="7"/>
      <c r="B121" s="7"/>
      <c r="C121" s="7"/>
      <c r="D121" s="7"/>
      <c r="E121" s="7"/>
      <c r="F121" s="96"/>
      <c r="G121" s="96"/>
      <c r="H121" s="7"/>
      <c r="I121" s="7"/>
      <c r="J121" s="7"/>
      <c r="K121" s="7"/>
    </row>
    <row r="122" spans="1:11">
      <c r="A122" s="470" t="s">
        <v>616</v>
      </c>
      <c r="B122" s="471"/>
      <c r="C122" s="471"/>
      <c r="D122" s="471"/>
      <c r="E122" s="471"/>
      <c r="F122" s="472"/>
      <c r="G122" s="472"/>
      <c r="H122" s="471"/>
      <c r="I122" s="471"/>
      <c r="J122" s="471"/>
      <c r="K122" s="476"/>
    </row>
    <row r="123" spans="1:11" ht="13.5" thickBot="1">
      <c r="A123" s="473" t="s">
        <v>617</v>
      </c>
      <c r="B123" s="474"/>
      <c r="C123" s="475"/>
      <c r="D123" s="475"/>
      <c r="E123" s="475"/>
      <c r="F123" s="475"/>
      <c r="G123" s="475"/>
      <c r="H123" s="475"/>
      <c r="I123" s="475"/>
      <c r="J123" s="475"/>
      <c r="K123" s="477"/>
    </row>
  </sheetData>
  <phoneticPr fontId="14" type="noConversion"/>
  <pageMargins left="0.75" right="0.75" top="1" bottom="1" header="0" footer="0"/>
  <pageSetup paperSize="9" orientation="portrait" horizontalDpi="0" verticalDpi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Lugar</vt:lpstr>
      <vt:lpstr>superficies</vt:lpstr>
      <vt:lpstr>Balance calefacción</vt:lpstr>
      <vt:lpstr>K comp</vt:lpstr>
      <vt:lpstr>Balance enfriamiento</vt:lpstr>
      <vt:lpstr>Enf. convectivo nocturno</vt:lpstr>
      <vt:lpstr>Masa Térmica</vt:lpstr>
      <vt:lpstr>Ventilación natural</vt:lpstr>
      <vt:lpstr>Resumen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AlfredoE</dc:creator>
  <cp:lastModifiedBy>Usuario</cp:lastModifiedBy>
  <cp:lastPrinted>2021-04-10T15:48:40Z</cp:lastPrinted>
  <dcterms:created xsi:type="dcterms:W3CDTF">2000-05-22T21:06:38Z</dcterms:created>
  <dcterms:modified xsi:type="dcterms:W3CDTF">2024-07-30T00:05:41Z</dcterms:modified>
</cp:coreProperties>
</file>