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prog bal termimco\"/>
    </mc:Choice>
  </mc:AlternateContent>
  <xr:revisionPtr revIDLastSave="0" documentId="13_ncr:1_{DCC9E705-9CC6-407A-9FF6-C68352CD8779}" xr6:coauthVersionLast="36" xr6:coauthVersionMax="47" xr10:uidLastSave="{00000000-0000-0000-0000-000000000000}"/>
  <bookViews>
    <workbookView xWindow="-120" yWindow="-120" windowWidth="24240" windowHeight="17640" tabRatio="805" xr2:uid="{00000000-000D-0000-FFFF-FFFF00000000}"/>
  </bookViews>
  <sheets>
    <sheet name="Lugar" sheetId="1" r:id="rId1"/>
    <sheet name="superficies" sheetId="2" r:id="rId2"/>
    <sheet name="Balance calefacción" sheetId="3" r:id="rId3"/>
    <sheet name="K comp" sheetId="4" r:id="rId4"/>
    <sheet name="mensual" sheetId="5" state="veryHidden" r:id="rId5"/>
    <sheet name="Balance enfriamiento" sheetId="6" r:id="rId6"/>
    <sheet name="Enf. convectivo nocturno" sheetId="11" r:id="rId7"/>
    <sheet name="Masa Térmica" sheetId="7" r:id="rId8"/>
    <sheet name="Ventilación natural" sheetId="8" r:id="rId9"/>
    <sheet name="Acumuación" sheetId="9" state="veryHidden" r:id="rId10"/>
    <sheet name="Resumen" sheetId="12" r:id="rId11"/>
  </sheets>
  <externalReferences>
    <externalReference r:id="rId12"/>
  </externalReferences>
  <definedNames>
    <definedName name="_xlnm._FilterDatabase" localSheetId="2" hidden="1">'Balance calefacción'!$L$15:$O$27</definedName>
  </definedNames>
  <calcPr calcId="179021"/>
</workbook>
</file>

<file path=xl/calcChain.xml><?xml version="1.0" encoding="utf-8"?>
<calcChain xmlns="http://schemas.openxmlformats.org/spreadsheetml/2006/main">
  <c r="F52" i="12" l="1"/>
  <c r="F51" i="12"/>
  <c r="F50" i="12"/>
  <c r="F49" i="12"/>
  <c r="F48" i="12"/>
  <c r="E214" i="6"/>
  <c r="E213" i="6"/>
  <c r="E212" i="6"/>
  <c r="E211" i="6"/>
  <c r="E210" i="6"/>
  <c r="E209" i="6"/>
  <c r="E208" i="6"/>
  <c r="E207" i="6"/>
  <c r="E206" i="6"/>
  <c r="E205" i="6"/>
  <c r="E204" i="6"/>
  <c r="E203" i="6"/>
  <c r="E67" i="2" l="1"/>
  <c r="D15" i="2"/>
  <c r="D14" i="2"/>
  <c r="D13" i="2"/>
  <c r="D12" i="2"/>
  <c r="D11" i="2"/>
  <c r="D10" i="2"/>
  <c r="D9" i="2"/>
  <c r="D8" i="2"/>
  <c r="E99" i="12" l="1"/>
  <c r="G99" i="12" s="1"/>
  <c r="D160" i="6"/>
  <c r="D159" i="6"/>
  <c r="D158" i="6"/>
  <c r="D157" i="6"/>
  <c r="D156" i="6"/>
  <c r="D155" i="6"/>
  <c r="D154" i="6"/>
  <c r="D153" i="6"/>
  <c r="D152" i="6"/>
  <c r="D151" i="6"/>
  <c r="D150" i="6"/>
  <c r="D149" i="6"/>
  <c r="E184" i="6"/>
  <c r="E183" i="6"/>
  <c r="E182" i="6"/>
  <c r="E181" i="6"/>
  <c r="E180" i="6"/>
  <c r="E179" i="6"/>
  <c r="E178" i="6"/>
  <c r="E177" i="6"/>
  <c r="E176" i="6"/>
  <c r="E175" i="6"/>
  <c r="E174" i="6"/>
  <c r="C184" i="6"/>
  <c r="C183" i="6"/>
  <c r="C182" i="6"/>
  <c r="C181" i="6"/>
  <c r="C180" i="6"/>
  <c r="C179" i="6"/>
  <c r="C178" i="6"/>
  <c r="C177" i="6"/>
  <c r="C176" i="6"/>
  <c r="C175" i="6"/>
  <c r="C174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C214" i="6"/>
  <c r="C213" i="6"/>
  <c r="C212" i="6"/>
  <c r="C211" i="6"/>
  <c r="C210" i="6"/>
  <c r="C209" i="6"/>
  <c r="C208" i="6"/>
  <c r="C207" i="6"/>
  <c r="C206" i="6"/>
  <c r="C205" i="6"/>
  <c r="C204" i="6"/>
  <c r="C203" i="6"/>
  <c r="D23" i="2" l="1"/>
  <c r="D22" i="2" s="1"/>
  <c r="D21" i="2"/>
  <c r="D18" i="2"/>
  <c r="C4" i="12" l="1"/>
  <c r="E97" i="12" l="1"/>
  <c r="G97" i="12" s="1"/>
  <c r="G62" i="12"/>
  <c r="D98" i="12"/>
  <c r="D97" i="12"/>
  <c r="G84" i="12"/>
  <c r="G83" i="12"/>
  <c r="G82" i="12"/>
  <c r="G13" i="12"/>
  <c r="C13" i="12"/>
  <c r="H12" i="12"/>
  <c r="G12" i="12"/>
  <c r="H11" i="12"/>
  <c r="G11" i="12"/>
  <c r="H10" i="12"/>
  <c r="G10" i="12"/>
  <c r="C10" i="12"/>
  <c r="B122" i="6" l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72" i="4" l="1"/>
  <c r="B76" i="4" s="1"/>
  <c r="B66" i="4"/>
  <c r="B70" i="4" s="1"/>
  <c r="B60" i="4"/>
  <c r="B62" i="4" s="1"/>
  <c r="B54" i="4"/>
  <c r="B57" i="4" s="1"/>
  <c r="B48" i="4"/>
  <c r="B52" i="4" s="1"/>
  <c r="B42" i="4"/>
  <c r="B46" i="4" s="1"/>
  <c r="B36" i="4"/>
  <c r="B38" i="4" s="1"/>
  <c r="B28" i="4"/>
  <c r="B31" i="4" s="1"/>
  <c r="B22" i="4"/>
  <c r="B26" i="4" s="1"/>
  <c r="B16" i="4"/>
  <c r="B20" i="4" s="1"/>
  <c r="B10" i="4"/>
  <c r="B12" i="4" s="1"/>
  <c r="B74" i="4" l="1"/>
  <c r="B13" i="4"/>
  <c r="B50" i="4"/>
  <c r="B18" i="4"/>
  <c r="B49" i="4"/>
  <c r="B19" i="4"/>
  <c r="B43" i="4"/>
  <c r="B63" i="4"/>
  <c r="B23" i="4"/>
  <c r="B45" i="4"/>
  <c r="B67" i="4"/>
  <c r="B44" i="4"/>
  <c r="B24" i="4"/>
  <c r="B68" i="4"/>
  <c r="B69" i="4"/>
  <c r="B17" i="4"/>
  <c r="B39" i="4"/>
  <c r="B73" i="4"/>
  <c r="B14" i="4"/>
  <c r="B29" i="4"/>
  <c r="B40" i="4"/>
  <c r="B55" i="4"/>
  <c r="B64" i="4"/>
  <c r="B11" i="4"/>
  <c r="B25" i="4"/>
  <c r="B30" i="4"/>
  <c r="B37" i="4"/>
  <c r="B51" i="4"/>
  <c r="B56" i="4"/>
  <c r="B61" i="4"/>
  <c r="B75" i="4"/>
  <c r="B32" i="4"/>
  <c r="B58" i="4"/>
  <c r="I25" i="11"/>
  <c r="M55" i="5"/>
  <c r="L55" i="5"/>
  <c r="K55" i="5"/>
  <c r="J55" i="5"/>
  <c r="I55" i="5"/>
  <c r="H55" i="5"/>
  <c r="G55" i="5"/>
  <c r="F55" i="5"/>
  <c r="E55" i="5"/>
  <c r="D55" i="5"/>
  <c r="C55" i="5"/>
  <c r="B55" i="5"/>
  <c r="M54" i="5"/>
  <c r="L54" i="5"/>
  <c r="K54" i="5"/>
  <c r="J54" i="5"/>
  <c r="I54" i="5"/>
  <c r="H54" i="5"/>
  <c r="G54" i="5"/>
  <c r="F54" i="5"/>
  <c r="E54" i="5"/>
  <c r="D54" i="5"/>
  <c r="C54" i="5"/>
  <c r="B54" i="5"/>
  <c r="M53" i="5"/>
  <c r="L53" i="5"/>
  <c r="K53" i="5"/>
  <c r="J53" i="5"/>
  <c r="I53" i="5"/>
  <c r="H53" i="5"/>
  <c r="G53" i="5"/>
  <c r="F53" i="5"/>
  <c r="E53" i="5"/>
  <c r="D53" i="5"/>
  <c r="C53" i="5"/>
  <c r="B53" i="5"/>
  <c r="M52" i="5"/>
  <c r="L52" i="5"/>
  <c r="K52" i="5"/>
  <c r="J52" i="5"/>
  <c r="I52" i="5"/>
  <c r="H52" i="5"/>
  <c r="G52" i="5"/>
  <c r="F52" i="5"/>
  <c r="E52" i="5"/>
  <c r="D52" i="5"/>
  <c r="C52" i="5"/>
  <c r="B52" i="5"/>
  <c r="M76" i="5"/>
  <c r="L76" i="5"/>
  <c r="K76" i="5"/>
  <c r="J76" i="5"/>
  <c r="I76" i="5"/>
  <c r="H76" i="5"/>
  <c r="G76" i="5"/>
  <c r="F76" i="5"/>
  <c r="E76" i="5"/>
  <c r="D76" i="5"/>
  <c r="C76" i="5"/>
  <c r="B76" i="5"/>
  <c r="M75" i="5"/>
  <c r="L75" i="5"/>
  <c r="K75" i="5"/>
  <c r="J75" i="5"/>
  <c r="I75" i="5"/>
  <c r="H75" i="5"/>
  <c r="G75" i="5"/>
  <c r="F75" i="5"/>
  <c r="E75" i="5"/>
  <c r="D75" i="5"/>
  <c r="C75" i="5"/>
  <c r="B75" i="5"/>
  <c r="M74" i="5"/>
  <c r="L74" i="5"/>
  <c r="K74" i="5"/>
  <c r="J74" i="5"/>
  <c r="I74" i="5"/>
  <c r="H74" i="5"/>
  <c r="G74" i="5"/>
  <c r="F74" i="5"/>
  <c r="E74" i="5"/>
  <c r="D74" i="5"/>
  <c r="C74" i="5"/>
  <c r="B74" i="5"/>
  <c r="M73" i="5"/>
  <c r="L73" i="5"/>
  <c r="K73" i="5"/>
  <c r="J73" i="5"/>
  <c r="I73" i="5"/>
  <c r="H73" i="5"/>
  <c r="G73" i="5"/>
  <c r="F73" i="5"/>
  <c r="E73" i="5"/>
  <c r="D73" i="5"/>
  <c r="C73" i="5"/>
  <c r="B73" i="5"/>
  <c r="M95" i="5"/>
  <c r="L95" i="5"/>
  <c r="K95" i="5"/>
  <c r="J95" i="5"/>
  <c r="I95" i="5"/>
  <c r="H95" i="5"/>
  <c r="G95" i="5"/>
  <c r="F95" i="5"/>
  <c r="E95" i="5"/>
  <c r="D95" i="5"/>
  <c r="C95" i="5"/>
  <c r="B95" i="5"/>
  <c r="M94" i="5"/>
  <c r="L94" i="5"/>
  <c r="K94" i="5"/>
  <c r="J94" i="5"/>
  <c r="I94" i="5"/>
  <c r="H94" i="5"/>
  <c r="G94" i="5"/>
  <c r="F94" i="5"/>
  <c r="E94" i="5"/>
  <c r="D94" i="5"/>
  <c r="C94" i="5"/>
  <c r="B94" i="5"/>
  <c r="M93" i="5"/>
  <c r="L93" i="5"/>
  <c r="K93" i="5"/>
  <c r="J93" i="5"/>
  <c r="I93" i="5"/>
  <c r="H93" i="5"/>
  <c r="G93" i="5"/>
  <c r="F93" i="5"/>
  <c r="E93" i="5"/>
  <c r="D93" i="5"/>
  <c r="C93" i="5"/>
  <c r="B93" i="5"/>
  <c r="M92" i="5"/>
  <c r="L92" i="5"/>
  <c r="K92" i="5"/>
  <c r="J92" i="5"/>
  <c r="I92" i="5"/>
  <c r="H92" i="5"/>
  <c r="G92" i="5"/>
  <c r="F92" i="5"/>
  <c r="E92" i="5"/>
  <c r="D92" i="5"/>
  <c r="C92" i="5"/>
  <c r="B92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M131" i="5"/>
  <c r="L131" i="5"/>
  <c r="K131" i="5"/>
  <c r="J131" i="5"/>
  <c r="I131" i="5"/>
  <c r="H131" i="5"/>
  <c r="G131" i="5"/>
  <c r="F131" i="5"/>
  <c r="E131" i="5"/>
  <c r="D131" i="5"/>
  <c r="M130" i="5"/>
  <c r="L130" i="5"/>
  <c r="K130" i="5"/>
  <c r="J130" i="5"/>
  <c r="I130" i="5"/>
  <c r="H130" i="5"/>
  <c r="G130" i="5"/>
  <c r="F130" i="5"/>
  <c r="E130" i="5"/>
  <c r="D130" i="5"/>
  <c r="M129" i="5"/>
  <c r="L129" i="5"/>
  <c r="K129" i="5"/>
  <c r="J129" i="5"/>
  <c r="I129" i="5"/>
  <c r="H129" i="5"/>
  <c r="G129" i="5"/>
  <c r="F129" i="5"/>
  <c r="E129" i="5"/>
  <c r="D129" i="5"/>
  <c r="M128" i="5"/>
  <c r="L128" i="5"/>
  <c r="K128" i="5"/>
  <c r="J128" i="5"/>
  <c r="I128" i="5"/>
  <c r="H128" i="5"/>
  <c r="G128" i="5"/>
  <c r="F128" i="5"/>
  <c r="E128" i="5"/>
  <c r="D128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M165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L165" i="5"/>
  <c r="K165" i="5"/>
  <c r="J165" i="5"/>
  <c r="I165" i="5"/>
  <c r="H165" i="5"/>
  <c r="G165" i="5"/>
  <c r="F165" i="5"/>
  <c r="E165" i="5"/>
  <c r="D165" i="5"/>
  <c r="C165" i="5"/>
  <c r="B165" i="5"/>
  <c r="M186" i="5" l="1"/>
  <c r="L186" i="5"/>
  <c r="K186" i="5"/>
  <c r="J186" i="5"/>
  <c r="I186" i="5"/>
  <c r="H186" i="5"/>
  <c r="G186" i="5"/>
  <c r="F186" i="5"/>
  <c r="E186" i="5"/>
  <c r="D186" i="5"/>
  <c r="C186" i="5"/>
  <c r="B186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N107" i="5" l="1"/>
  <c r="W56" i="5" l="1"/>
  <c r="W55" i="5"/>
  <c r="W54" i="5"/>
  <c r="W53" i="5"/>
  <c r="W52" i="5"/>
  <c r="W51" i="5"/>
  <c r="W50" i="5"/>
  <c r="T56" i="5"/>
  <c r="T55" i="5"/>
  <c r="T54" i="5"/>
  <c r="T53" i="5"/>
  <c r="T52" i="5"/>
  <c r="T51" i="5"/>
  <c r="T50" i="5"/>
  <c r="W49" i="5"/>
  <c r="T49" i="5"/>
  <c r="E60" i="8" l="1"/>
  <c r="E62" i="8" s="1"/>
  <c r="E38" i="8"/>
  <c r="E34" i="11"/>
  <c r="E49" i="11"/>
  <c r="E67" i="11"/>
  <c r="E68" i="11" s="1"/>
  <c r="I22" i="7"/>
  <c r="E69" i="11" l="1"/>
  <c r="E61" i="8"/>
  <c r="G12" i="2"/>
  <c r="F10" i="2"/>
  <c r="E72" i="11" l="1"/>
  <c r="E73" i="11" l="1"/>
  <c r="M25" i="4"/>
  <c r="O21" i="4"/>
  <c r="O20" i="4"/>
  <c r="O19" i="4"/>
  <c r="O18" i="4"/>
  <c r="O17" i="4"/>
  <c r="O16" i="4"/>
  <c r="O15" i="4"/>
  <c r="C124" i="4"/>
  <c r="O22" i="4" l="1"/>
  <c r="M27" i="4" s="1"/>
  <c r="M28" i="4" s="1"/>
  <c r="AC28" i="3" l="1"/>
  <c r="E64" i="2"/>
  <c r="E65" i="2"/>
  <c r="E68" i="2"/>
  <c r="E69" i="2" s="1"/>
  <c r="M10" i="3" l="1"/>
  <c r="M36" i="3" s="1"/>
  <c r="G41" i="12" s="1"/>
  <c r="G10" i="2"/>
  <c r="I21" i="7" l="1"/>
  <c r="E98" i="12" s="1"/>
  <c r="G98" i="12" s="1"/>
  <c r="D113" i="6"/>
  <c r="C62" i="6"/>
  <c r="C89" i="6" s="1"/>
  <c r="C107" i="6" s="1"/>
  <c r="J247" i="6"/>
  <c r="F63" i="6"/>
  <c r="D63" i="6"/>
  <c r="B63" i="6"/>
  <c r="H63" i="6"/>
  <c r="I63" i="6"/>
  <c r="G63" i="6"/>
  <c r="C63" i="6"/>
  <c r="E63" i="6"/>
  <c r="I62" i="6"/>
  <c r="I89" i="6" s="1"/>
  <c r="I107" i="6" s="1"/>
  <c r="H62" i="6"/>
  <c r="H89" i="6" s="1"/>
  <c r="H107" i="6" s="1"/>
  <c r="G62" i="6"/>
  <c r="G89" i="6" s="1"/>
  <c r="G107" i="6" s="1"/>
  <c r="F62" i="6"/>
  <c r="E62" i="6"/>
  <c r="E89" i="6" s="1"/>
  <c r="E107" i="6" s="1"/>
  <c r="D62" i="6"/>
  <c r="D89" i="6" s="1"/>
  <c r="D107" i="6" s="1"/>
  <c r="B62" i="6"/>
  <c r="B89" i="6" s="1"/>
  <c r="B107" i="6" s="1"/>
  <c r="J36" i="6"/>
  <c r="J35" i="6"/>
  <c r="J11" i="6"/>
  <c r="B35" i="6"/>
  <c r="D35" i="6"/>
  <c r="F35" i="6"/>
  <c r="H35" i="6"/>
  <c r="J12" i="6"/>
  <c r="I12" i="6"/>
  <c r="H12" i="6"/>
  <c r="G12" i="6"/>
  <c r="F12" i="6"/>
  <c r="E12" i="6"/>
  <c r="D12" i="6"/>
  <c r="C12" i="6"/>
  <c r="B12" i="6"/>
  <c r="F11" i="6"/>
  <c r="B11" i="6"/>
  <c r="D11" i="6"/>
  <c r="H11" i="6"/>
  <c r="C17" i="3"/>
  <c r="F17" i="3" s="1"/>
  <c r="F16" i="3"/>
  <c r="C16" i="3"/>
  <c r="C14" i="3"/>
  <c r="F14" i="3" s="1"/>
  <c r="C13" i="3"/>
  <c r="C12" i="3"/>
  <c r="F12" i="3" s="1"/>
  <c r="J210" i="6"/>
  <c r="L254" i="6" s="1"/>
  <c r="J258" i="6"/>
  <c r="J257" i="6"/>
  <c r="J256" i="6"/>
  <c r="J255" i="6"/>
  <c r="J254" i="6"/>
  <c r="J253" i="6"/>
  <c r="J252" i="6"/>
  <c r="J251" i="6"/>
  <c r="J249" i="6"/>
  <c r="D115" i="6"/>
  <c r="F89" i="6"/>
  <c r="F107" i="6" s="1"/>
  <c r="C221" i="4"/>
  <c r="C220" i="4"/>
  <c r="C219" i="4"/>
  <c r="C218" i="4"/>
  <c r="C216" i="4"/>
  <c r="C215" i="4"/>
  <c r="C214" i="4"/>
  <c r="C212" i="4"/>
  <c r="C211" i="4"/>
  <c r="C210" i="4"/>
  <c r="C208" i="4"/>
  <c r="C207" i="4"/>
  <c r="C206" i="4"/>
  <c r="D205" i="4"/>
  <c r="C205" i="4"/>
  <c r="C204" i="4"/>
  <c r="C203" i="4"/>
  <c r="C202" i="4"/>
  <c r="C201" i="4"/>
  <c r="C200" i="4"/>
  <c r="C199" i="4"/>
  <c r="C197" i="4"/>
  <c r="C196" i="4"/>
  <c r="C195" i="4"/>
  <c r="C194" i="4"/>
  <c r="C123" i="4"/>
  <c r="C122" i="4"/>
  <c r="C72" i="4"/>
  <c r="C66" i="4"/>
  <c r="C60" i="4"/>
  <c r="C54" i="4"/>
  <c r="C48" i="4"/>
  <c r="C42" i="4"/>
  <c r="C40" i="4"/>
  <c r="C39" i="4"/>
  <c r="C38" i="4"/>
  <c r="C37" i="4"/>
  <c r="C36" i="4"/>
  <c r="C28" i="4"/>
  <c r="C26" i="4"/>
  <c r="J21" i="4"/>
  <c r="J20" i="4"/>
  <c r="J19" i="4"/>
  <c r="C19" i="4"/>
  <c r="J18" i="4"/>
  <c r="J17" i="4"/>
  <c r="C14" i="4"/>
  <c r="J16" i="4"/>
  <c r="J15" i="4"/>
  <c r="C11" i="4"/>
  <c r="C13" i="4"/>
  <c r="X19" i="3"/>
  <c r="AA19" i="3" s="1"/>
  <c r="X18" i="3"/>
  <c r="AA18" i="3" s="1"/>
  <c r="F13" i="3"/>
  <c r="H23" i="2"/>
  <c r="E50" i="2" s="1"/>
  <c r="H22" i="2"/>
  <c r="H18" i="2"/>
  <c r="H15" i="2"/>
  <c r="F15" i="2"/>
  <c r="F14" i="2"/>
  <c r="F13" i="2"/>
  <c r="F11" i="2"/>
  <c r="F9" i="2"/>
  <c r="H9" i="2" s="1"/>
  <c r="F8" i="2"/>
  <c r="A66" i="1"/>
  <c r="A67" i="1" s="1"/>
  <c r="A68" i="1" s="1"/>
  <c r="N89" i="5"/>
  <c r="N125" i="5"/>
  <c r="E22" i="8" l="1"/>
  <c r="E24" i="8" s="1"/>
  <c r="E33" i="11"/>
  <c r="E35" i="11" s="1"/>
  <c r="J206" i="6"/>
  <c r="L250" i="6" s="1"/>
  <c r="J214" i="6"/>
  <c r="L258" i="6" s="1"/>
  <c r="J250" i="6"/>
  <c r="D162" i="6"/>
  <c r="F22" i="6"/>
  <c r="D28" i="6"/>
  <c r="B20" i="6"/>
  <c r="J208" i="6"/>
  <c r="L252" i="6" s="1"/>
  <c r="J204" i="6"/>
  <c r="L248" i="6" s="1"/>
  <c r="J212" i="6"/>
  <c r="L256" i="6" s="1"/>
  <c r="J211" i="6"/>
  <c r="L255" i="6" s="1"/>
  <c r="F177" i="6"/>
  <c r="K250" i="6" s="1"/>
  <c r="F179" i="6"/>
  <c r="K252" i="6" s="1"/>
  <c r="F181" i="6"/>
  <c r="K254" i="6" s="1"/>
  <c r="AC254" i="6" s="1"/>
  <c r="J203" i="6"/>
  <c r="J248" i="6"/>
  <c r="F178" i="6"/>
  <c r="K251" i="6" s="1"/>
  <c r="F182" i="6"/>
  <c r="K255" i="6" s="1"/>
  <c r="F29" i="6"/>
  <c r="F183" i="6"/>
  <c r="K256" i="6" s="1"/>
  <c r="H29" i="6"/>
  <c r="J22" i="4"/>
  <c r="H19" i="6"/>
  <c r="H23" i="6"/>
  <c r="A69" i="1"/>
  <c r="H46" i="6"/>
  <c r="B53" i="6"/>
  <c r="F51" i="6"/>
  <c r="F19" i="6"/>
  <c r="H22" i="6"/>
  <c r="H20" i="6"/>
  <c r="H24" i="6"/>
  <c r="H18" i="6"/>
  <c r="H26" i="6"/>
  <c r="B24" i="6"/>
  <c r="D21" i="6"/>
  <c r="D23" i="6"/>
  <c r="D25" i="6"/>
  <c r="D26" i="6"/>
  <c r="D18" i="6"/>
  <c r="D22" i="6"/>
  <c r="D20" i="6"/>
  <c r="D24" i="6"/>
  <c r="D27" i="6"/>
  <c r="D19" i="6"/>
  <c r="H41" i="2"/>
  <c r="G44" i="2"/>
  <c r="K23" i="6"/>
  <c r="D252" i="6" s="1"/>
  <c r="F41" i="2"/>
  <c r="F44" i="2"/>
  <c r="F47" i="2"/>
  <c r="F42" i="2"/>
  <c r="D50" i="2"/>
  <c r="D43" i="2"/>
  <c r="G40" i="2"/>
  <c r="F40" i="2"/>
  <c r="D45" i="2"/>
  <c r="F46" i="2"/>
  <c r="H50" i="2"/>
  <c r="D26" i="2" s="1"/>
  <c r="D41" i="2"/>
  <c r="D47" i="2"/>
  <c r="F176" i="6"/>
  <c r="K249" i="6" s="1"/>
  <c r="H25" i="6"/>
  <c r="K52" i="6"/>
  <c r="E257" i="6" s="1"/>
  <c r="F184" i="6"/>
  <c r="K257" i="6" s="1"/>
  <c r="L247" i="6"/>
  <c r="J205" i="6"/>
  <c r="L249" i="6" s="1"/>
  <c r="J207" i="6"/>
  <c r="L251" i="6" s="1"/>
  <c r="J209" i="6"/>
  <c r="L253" i="6" s="1"/>
  <c r="J213" i="6"/>
  <c r="L257" i="6" s="1"/>
  <c r="H21" i="6"/>
  <c r="B43" i="6"/>
  <c r="J107" i="6"/>
  <c r="G258" i="6" s="1"/>
  <c r="F175" i="6"/>
  <c r="K248" i="6" s="1"/>
  <c r="B42" i="6"/>
  <c r="F43" i="6"/>
  <c r="F45" i="6"/>
  <c r="H48" i="6"/>
  <c r="H53" i="6"/>
  <c r="H49" i="6"/>
  <c r="D52" i="6"/>
  <c r="K45" i="6"/>
  <c r="E250" i="6" s="1"/>
  <c r="K49" i="6"/>
  <c r="E254" i="6" s="1"/>
  <c r="K53" i="6"/>
  <c r="E258" i="6" s="1"/>
  <c r="K21" i="6"/>
  <c r="D250" i="6" s="1"/>
  <c r="K26" i="6"/>
  <c r="D255" i="6" s="1"/>
  <c r="K29" i="6"/>
  <c r="D258" i="6" s="1"/>
  <c r="B96" i="6"/>
  <c r="F96" i="6"/>
  <c r="B97" i="6"/>
  <c r="F97" i="6"/>
  <c r="B98" i="6"/>
  <c r="F98" i="6"/>
  <c r="B99" i="6"/>
  <c r="F99" i="6"/>
  <c r="B100" i="6"/>
  <c r="F100" i="6"/>
  <c r="B101" i="6"/>
  <c r="F101" i="6"/>
  <c r="B102" i="6"/>
  <c r="F102" i="6"/>
  <c r="B103" i="6"/>
  <c r="F103" i="6"/>
  <c r="B104" i="6"/>
  <c r="F104" i="6"/>
  <c r="B105" i="6"/>
  <c r="F105" i="6"/>
  <c r="B106" i="6"/>
  <c r="F106" i="6"/>
  <c r="F174" i="6"/>
  <c r="K247" i="6" s="1"/>
  <c r="AC247" i="6" s="1"/>
  <c r="F180" i="6"/>
  <c r="K253" i="6" s="1"/>
  <c r="B46" i="6"/>
  <c r="B47" i="6"/>
  <c r="K46" i="6"/>
  <c r="E251" i="6" s="1"/>
  <c r="K50" i="6"/>
  <c r="E255" i="6" s="1"/>
  <c r="K18" i="6"/>
  <c r="D247" i="6" s="1"/>
  <c r="K22" i="6"/>
  <c r="D251" i="6" s="1"/>
  <c r="K27" i="6"/>
  <c r="D256" i="6" s="1"/>
  <c r="K42" i="6"/>
  <c r="E247" i="6" s="1"/>
  <c r="C96" i="6"/>
  <c r="G96" i="6"/>
  <c r="C97" i="6"/>
  <c r="G97" i="6"/>
  <c r="C98" i="6"/>
  <c r="G98" i="6"/>
  <c r="C99" i="6"/>
  <c r="G99" i="6"/>
  <c r="C100" i="6"/>
  <c r="G100" i="6"/>
  <c r="C101" i="6"/>
  <c r="G101" i="6"/>
  <c r="C102" i="6"/>
  <c r="G102" i="6"/>
  <c r="C103" i="6"/>
  <c r="G103" i="6"/>
  <c r="C104" i="6"/>
  <c r="G104" i="6"/>
  <c r="C105" i="6"/>
  <c r="G105" i="6"/>
  <c r="C106" i="6"/>
  <c r="G106" i="6"/>
  <c r="F42" i="6"/>
  <c r="F44" i="6"/>
  <c r="F46" i="6"/>
  <c r="H47" i="6"/>
  <c r="H51" i="6"/>
  <c r="F53" i="6"/>
  <c r="B50" i="6"/>
  <c r="K43" i="6"/>
  <c r="E248" i="6" s="1"/>
  <c r="K47" i="6"/>
  <c r="E252" i="6" s="1"/>
  <c r="K51" i="6"/>
  <c r="E256" i="6" s="1"/>
  <c r="K19" i="6"/>
  <c r="D248" i="6" s="1"/>
  <c r="K24" i="6"/>
  <c r="D253" i="6" s="1"/>
  <c r="K28" i="6"/>
  <c r="D257" i="6" s="1"/>
  <c r="D96" i="6"/>
  <c r="H96" i="6"/>
  <c r="D97" i="6"/>
  <c r="H97" i="6"/>
  <c r="D98" i="6"/>
  <c r="H98" i="6"/>
  <c r="D99" i="6"/>
  <c r="H99" i="6"/>
  <c r="D100" i="6"/>
  <c r="H100" i="6"/>
  <c r="D101" i="6"/>
  <c r="H101" i="6"/>
  <c r="D102" i="6"/>
  <c r="H102" i="6"/>
  <c r="D103" i="6"/>
  <c r="H103" i="6"/>
  <c r="D104" i="6"/>
  <c r="H104" i="6"/>
  <c r="D105" i="6"/>
  <c r="H105" i="6"/>
  <c r="D106" i="6"/>
  <c r="H106" i="6"/>
  <c r="H42" i="6"/>
  <c r="H44" i="6"/>
  <c r="K44" i="6"/>
  <c r="E249" i="6" s="1"/>
  <c r="K48" i="6"/>
  <c r="E253" i="6" s="1"/>
  <c r="K20" i="6"/>
  <c r="D249" i="6" s="1"/>
  <c r="K25" i="6"/>
  <c r="D254" i="6" s="1"/>
  <c r="E96" i="6"/>
  <c r="I96" i="6"/>
  <c r="E97" i="6"/>
  <c r="I97" i="6"/>
  <c r="E98" i="6"/>
  <c r="I98" i="6"/>
  <c r="E99" i="6"/>
  <c r="I99" i="6"/>
  <c r="E100" i="6"/>
  <c r="I100" i="6"/>
  <c r="E101" i="6"/>
  <c r="I101" i="6"/>
  <c r="E102" i="6"/>
  <c r="I102" i="6"/>
  <c r="E103" i="6"/>
  <c r="I103" i="6"/>
  <c r="E104" i="6"/>
  <c r="I104" i="6"/>
  <c r="E105" i="6"/>
  <c r="I105" i="6"/>
  <c r="E106" i="6"/>
  <c r="I106" i="6"/>
  <c r="F47" i="6"/>
  <c r="H43" i="6"/>
  <c r="B51" i="6"/>
  <c r="B44" i="6"/>
  <c r="B45" i="6"/>
  <c r="D48" i="6"/>
  <c r="B52" i="6"/>
  <c r="D42" i="6"/>
  <c r="D43" i="6"/>
  <c r="D44" i="6"/>
  <c r="D45" i="6"/>
  <c r="D47" i="6"/>
  <c r="D50" i="6"/>
  <c r="D51" i="6"/>
  <c r="D53" i="6"/>
  <c r="F49" i="6"/>
  <c r="H45" i="6"/>
  <c r="H50" i="6"/>
  <c r="H52" i="6"/>
  <c r="F50" i="6"/>
  <c r="F52" i="6"/>
  <c r="F48" i="6"/>
  <c r="D46" i="6"/>
  <c r="D49" i="6"/>
  <c r="B48" i="6"/>
  <c r="B49" i="6"/>
  <c r="B18" i="6"/>
  <c r="B28" i="6"/>
  <c r="H27" i="6"/>
  <c r="H28" i="6"/>
  <c r="F21" i="6"/>
  <c r="F24" i="6"/>
  <c r="F26" i="6"/>
  <c r="F18" i="6"/>
  <c r="F23" i="6"/>
  <c r="F28" i="6"/>
  <c r="F20" i="6"/>
  <c r="F25" i="6"/>
  <c r="F27" i="6"/>
  <c r="D29" i="6"/>
  <c r="B21" i="6"/>
  <c r="B25" i="6"/>
  <c r="B29" i="6"/>
  <c r="B22" i="6"/>
  <c r="B26" i="6"/>
  <c r="B19" i="6"/>
  <c r="B23" i="6"/>
  <c r="B27" i="6"/>
  <c r="C52" i="4"/>
  <c r="C50" i="4"/>
  <c r="C49" i="4"/>
  <c r="C45" i="4"/>
  <c r="C12" i="4"/>
  <c r="C18" i="4"/>
  <c r="C10" i="4"/>
  <c r="C17" i="4"/>
  <c r="C22" i="4"/>
  <c r="C24" i="4"/>
  <c r="C44" i="4"/>
  <c r="C46" i="4"/>
  <c r="C20" i="4"/>
  <c r="C16" i="4"/>
  <c r="C23" i="4"/>
  <c r="C43" i="4"/>
  <c r="H47" i="2"/>
  <c r="F45" i="2"/>
  <c r="H13" i="2"/>
  <c r="F43" i="2"/>
  <c r="H11" i="2"/>
  <c r="F16" i="2"/>
  <c r="G41" i="2"/>
  <c r="G43" i="2"/>
  <c r="G45" i="2"/>
  <c r="G47" i="2"/>
  <c r="G16" i="2"/>
  <c r="G48" i="2" s="1"/>
  <c r="E41" i="2"/>
  <c r="G42" i="2"/>
  <c r="E43" i="2"/>
  <c r="E45" i="2"/>
  <c r="G46" i="2"/>
  <c r="E47" i="2"/>
  <c r="AC253" i="6" l="1"/>
  <c r="AC256" i="6"/>
  <c r="AC249" i="6"/>
  <c r="AC257" i="6"/>
  <c r="AC251" i="6"/>
  <c r="AC252" i="6"/>
  <c r="AC250" i="6"/>
  <c r="AC255" i="6"/>
  <c r="AC248" i="6"/>
  <c r="F48" i="2"/>
  <c r="C15" i="3"/>
  <c r="F15" i="3" s="1"/>
  <c r="J216" i="6"/>
  <c r="J260" i="6"/>
  <c r="G272" i="6" s="1"/>
  <c r="F185" i="6"/>
  <c r="K258" i="6" s="1"/>
  <c r="A70" i="1"/>
  <c r="L260" i="6"/>
  <c r="I272" i="6" s="1"/>
  <c r="J106" i="6"/>
  <c r="G257" i="6" s="1"/>
  <c r="J102" i="6"/>
  <c r="G253" i="6" s="1"/>
  <c r="J98" i="6"/>
  <c r="G249" i="6" s="1"/>
  <c r="J104" i="6"/>
  <c r="G255" i="6" s="1"/>
  <c r="J100" i="6"/>
  <c r="G251" i="6" s="1"/>
  <c r="J105" i="6"/>
  <c r="G256" i="6" s="1"/>
  <c r="J103" i="6"/>
  <c r="G254" i="6" s="1"/>
  <c r="J101" i="6"/>
  <c r="G252" i="6" s="1"/>
  <c r="J99" i="6"/>
  <c r="G250" i="6" s="1"/>
  <c r="J97" i="6"/>
  <c r="G248" i="6" s="1"/>
  <c r="E260" i="6"/>
  <c r="J96" i="6"/>
  <c r="D260" i="6"/>
  <c r="C31" i="4"/>
  <c r="C29" i="4"/>
  <c r="C32" i="4"/>
  <c r="C30" i="4"/>
  <c r="C25" i="4"/>
  <c r="C55" i="4"/>
  <c r="C51" i="4"/>
  <c r="C58" i="4"/>
  <c r="C56" i="4"/>
  <c r="H45" i="2"/>
  <c r="H43" i="2"/>
  <c r="C272" i="6" l="1"/>
  <c r="K260" i="6"/>
  <c r="H272" i="6" s="1"/>
  <c r="AC258" i="6"/>
  <c r="AC260" i="6" s="1"/>
  <c r="A71" i="1"/>
  <c r="G247" i="6"/>
  <c r="G260" i="6" s="1"/>
  <c r="E272" i="6" s="1"/>
  <c r="J109" i="6"/>
  <c r="C64" i="4"/>
  <c r="C62" i="4"/>
  <c r="C61" i="4"/>
  <c r="C57" i="4"/>
  <c r="A72" i="1" l="1"/>
  <c r="B2" i="6" s="1"/>
  <c r="H9" i="4"/>
  <c r="H10" i="4" s="1"/>
  <c r="H25" i="4" s="1"/>
  <c r="H27" i="4" s="1"/>
  <c r="H28" i="4" s="1"/>
  <c r="G9" i="4"/>
  <c r="E28" i="8"/>
  <c r="H28" i="8"/>
  <c r="G38" i="8" s="1"/>
  <c r="E27" i="8"/>
  <c r="E26" i="8"/>
  <c r="D80" i="8" s="1"/>
  <c r="E38" i="11"/>
  <c r="E39" i="11"/>
  <c r="H39" i="11"/>
  <c r="G49" i="11" s="1"/>
  <c r="C18" i="3"/>
  <c r="C19" i="3" s="1"/>
  <c r="D114" i="6" s="1"/>
  <c r="E25" i="8"/>
  <c r="E36" i="11"/>
  <c r="E37" i="11"/>
  <c r="D87" i="11" s="1"/>
  <c r="M1" i="5"/>
  <c r="B4" i="3"/>
  <c r="E4" i="3"/>
  <c r="C67" i="4"/>
  <c r="C63" i="4"/>
  <c r="C70" i="4"/>
  <c r="C68" i="4"/>
  <c r="D18" i="1" l="1"/>
  <c r="D6" i="12"/>
  <c r="Z23" i="3"/>
  <c r="H4" i="3"/>
  <c r="AB28" i="3" s="1"/>
  <c r="U16" i="5"/>
  <c r="T16" i="5"/>
  <c r="S16" i="5"/>
  <c r="R16" i="5"/>
  <c r="Q16" i="5"/>
  <c r="P16" i="5"/>
  <c r="O16" i="5"/>
  <c r="N16" i="5"/>
  <c r="M16" i="5"/>
  <c r="L16" i="5"/>
  <c r="K16" i="5"/>
  <c r="J16" i="5"/>
  <c r="U15" i="5"/>
  <c r="T15" i="5"/>
  <c r="S15" i="5"/>
  <c r="R15" i="5"/>
  <c r="Q15" i="5"/>
  <c r="P15" i="5"/>
  <c r="O15" i="5"/>
  <c r="N15" i="5"/>
  <c r="M15" i="5"/>
  <c r="L15" i="5"/>
  <c r="K15" i="5"/>
  <c r="J15" i="5"/>
  <c r="U14" i="5"/>
  <c r="T14" i="5"/>
  <c r="S14" i="5"/>
  <c r="R14" i="5"/>
  <c r="Q14" i="5"/>
  <c r="P14" i="5"/>
  <c r="O14" i="5"/>
  <c r="N14" i="5"/>
  <c r="M14" i="5"/>
  <c r="L14" i="5"/>
  <c r="K14" i="5"/>
  <c r="J14" i="5"/>
  <c r="U13" i="5"/>
  <c r="T13" i="5"/>
  <c r="S13" i="5"/>
  <c r="R13" i="5"/>
  <c r="Q13" i="5"/>
  <c r="P13" i="5"/>
  <c r="O13" i="5"/>
  <c r="N13" i="5"/>
  <c r="M13" i="5"/>
  <c r="L13" i="5"/>
  <c r="K13" i="5"/>
  <c r="J13" i="5"/>
  <c r="U10" i="5"/>
  <c r="T10" i="5"/>
  <c r="S10" i="5"/>
  <c r="R10" i="5"/>
  <c r="Q10" i="5"/>
  <c r="P10" i="5"/>
  <c r="O10" i="5"/>
  <c r="N10" i="5"/>
  <c r="M10" i="5"/>
  <c r="L10" i="5"/>
  <c r="K10" i="5"/>
  <c r="J10" i="5"/>
  <c r="U9" i="5"/>
  <c r="T9" i="5"/>
  <c r="S9" i="5"/>
  <c r="R9" i="5"/>
  <c r="Q9" i="5"/>
  <c r="P9" i="5"/>
  <c r="O9" i="5"/>
  <c r="N9" i="5"/>
  <c r="M9" i="5"/>
  <c r="L9" i="5"/>
  <c r="K9" i="5"/>
  <c r="J9" i="5"/>
  <c r="U8" i="5"/>
  <c r="T8" i="5"/>
  <c r="S8" i="5"/>
  <c r="R8" i="5"/>
  <c r="Q8" i="5"/>
  <c r="P8" i="5"/>
  <c r="O8" i="5"/>
  <c r="N8" i="5"/>
  <c r="M8" i="5"/>
  <c r="L8" i="5"/>
  <c r="K8" i="5"/>
  <c r="J8" i="5"/>
  <c r="U7" i="5"/>
  <c r="T7" i="5"/>
  <c r="S7" i="5"/>
  <c r="R7" i="5"/>
  <c r="Q7" i="5"/>
  <c r="P7" i="5"/>
  <c r="O7" i="5"/>
  <c r="N7" i="5"/>
  <c r="M7" i="5"/>
  <c r="L7" i="5"/>
  <c r="K7" i="5"/>
  <c r="J7" i="5"/>
  <c r="V4" i="5"/>
  <c r="U4" i="5"/>
  <c r="T4" i="5"/>
  <c r="S4" i="5"/>
  <c r="R4" i="5"/>
  <c r="Q4" i="5"/>
  <c r="P4" i="5"/>
  <c r="O4" i="5"/>
  <c r="N4" i="5"/>
  <c r="M4" i="5"/>
  <c r="L4" i="5"/>
  <c r="K4" i="5"/>
  <c r="V4" i="6"/>
  <c r="S4" i="6"/>
  <c r="D91" i="11"/>
  <c r="D95" i="11" s="1"/>
  <c r="D92" i="11"/>
  <c r="D96" i="11" s="1"/>
  <c r="E42" i="11"/>
  <c r="E43" i="11"/>
  <c r="E41" i="11"/>
  <c r="E44" i="11"/>
  <c r="E30" i="8"/>
  <c r="E31" i="8"/>
  <c r="E32" i="8"/>
  <c r="E33" i="8"/>
  <c r="C76" i="4"/>
  <c r="C74" i="4"/>
  <c r="C75" i="4"/>
  <c r="C73" i="4"/>
  <c r="C69" i="4"/>
  <c r="Z8" i="6" l="1"/>
  <c r="Y8" i="6"/>
  <c r="X8" i="6"/>
  <c r="W8" i="6"/>
  <c r="V8" i="6"/>
  <c r="U8" i="6"/>
  <c r="T8" i="6"/>
  <c r="S8" i="6"/>
  <c r="R8" i="6"/>
  <c r="Q8" i="6"/>
  <c r="P8" i="6"/>
  <c r="O8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H42" i="8"/>
  <c r="E54" i="8"/>
  <c r="E65" i="8" s="1"/>
  <c r="D84" i="8" s="1"/>
  <c r="D88" i="8" s="1"/>
  <c r="H41" i="8"/>
  <c r="H43" i="8"/>
  <c r="H40" i="8"/>
  <c r="H52" i="11"/>
  <c r="H51" i="11"/>
  <c r="H54" i="11"/>
  <c r="H53" i="11"/>
  <c r="D104" i="11"/>
  <c r="C122" i="11"/>
  <c r="C93" i="12" s="1"/>
  <c r="D122" i="11"/>
  <c r="D93" i="12" s="1"/>
  <c r="C121" i="11"/>
  <c r="C92" i="12" s="1"/>
  <c r="D103" i="11"/>
  <c r="D121" i="11"/>
  <c r="D92" i="12" s="1"/>
  <c r="I252" i="6" l="1"/>
  <c r="H13" i="11"/>
  <c r="E66" i="8"/>
  <c r="D85" i="8" s="1"/>
  <c r="D89" i="8" s="1"/>
  <c r="D97" i="8" s="1"/>
  <c r="E121" i="11"/>
  <c r="F121" i="11"/>
  <c r="E122" i="11"/>
  <c r="F122" i="11"/>
  <c r="D96" i="8"/>
  <c r="D115" i="8"/>
  <c r="D106" i="12" s="1"/>
  <c r="C115" i="8"/>
  <c r="C106" i="12" s="1"/>
  <c r="G15" i="11"/>
  <c r="F76" i="6"/>
  <c r="H76" i="6"/>
  <c r="B76" i="6"/>
  <c r="C129" i="6"/>
  <c r="H254" i="6" s="1"/>
  <c r="I76" i="6"/>
  <c r="G76" i="6"/>
  <c r="C76" i="6"/>
  <c r="E76" i="6"/>
  <c r="G33" i="7"/>
  <c r="D76" i="6"/>
  <c r="G74" i="6"/>
  <c r="AE252" i="6"/>
  <c r="I74" i="6"/>
  <c r="C127" i="6"/>
  <c r="H252" i="6" s="1"/>
  <c r="G31" i="7"/>
  <c r="D74" i="6"/>
  <c r="B74" i="6"/>
  <c r="H74" i="6"/>
  <c r="F74" i="6"/>
  <c r="C74" i="6"/>
  <c r="E74" i="6"/>
  <c r="G16" i="11"/>
  <c r="G34" i="7"/>
  <c r="C130" i="6"/>
  <c r="H255" i="6" s="1"/>
  <c r="D77" i="6"/>
  <c r="B77" i="6"/>
  <c r="C77" i="6"/>
  <c r="E77" i="6"/>
  <c r="G77" i="6"/>
  <c r="I77" i="6"/>
  <c r="H77" i="6"/>
  <c r="F77" i="6"/>
  <c r="G11" i="11"/>
  <c r="C125" i="6"/>
  <c r="H250" i="6" s="1"/>
  <c r="I72" i="6"/>
  <c r="G72" i="6"/>
  <c r="G29" i="7"/>
  <c r="D72" i="6"/>
  <c r="B72" i="6"/>
  <c r="H72" i="6"/>
  <c r="F72" i="6"/>
  <c r="C72" i="6"/>
  <c r="E72" i="6"/>
  <c r="G18" i="11"/>
  <c r="E79" i="6"/>
  <c r="C79" i="6"/>
  <c r="I79" i="6"/>
  <c r="C132" i="6"/>
  <c r="H257" i="6" s="1"/>
  <c r="D79" i="6"/>
  <c r="B79" i="6"/>
  <c r="G36" i="7"/>
  <c r="H79" i="6"/>
  <c r="F79" i="6"/>
  <c r="G79" i="6"/>
  <c r="G9" i="11"/>
  <c r="C70" i="6"/>
  <c r="C123" i="6"/>
  <c r="H248" i="6" s="1"/>
  <c r="E70" i="6"/>
  <c r="I70" i="6"/>
  <c r="G70" i="6"/>
  <c r="H70" i="6"/>
  <c r="F70" i="6"/>
  <c r="G27" i="7"/>
  <c r="D70" i="6"/>
  <c r="B70" i="6"/>
  <c r="G12" i="11"/>
  <c r="G73" i="6"/>
  <c r="C126" i="6"/>
  <c r="H251" i="6" s="1"/>
  <c r="I73" i="6"/>
  <c r="G30" i="7"/>
  <c r="D73" i="6"/>
  <c r="H73" i="6"/>
  <c r="F73" i="6"/>
  <c r="B73" i="6"/>
  <c r="C73" i="6"/>
  <c r="E73" i="6"/>
  <c r="G14" i="11"/>
  <c r="G32" i="7"/>
  <c r="F75" i="6"/>
  <c r="H75" i="6"/>
  <c r="I75" i="6"/>
  <c r="C128" i="6"/>
  <c r="H253" i="6" s="1"/>
  <c r="C75" i="6"/>
  <c r="E75" i="6"/>
  <c r="D75" i="6"/>
  <c r="B75" i="6"/>
  <c r="G75" i="6"/>
  <c r="G10" i="11"/>
  <c r="E71" i="6"/>
  <c r="C124" i="6"/>
  <c r="H249" i="6" s="1"/>
  <c r="C71" i="6"/>
  <c r="G28" i="7"/>
  <c r="D71" i="6"/>
  <c r="B71" i="6"/>
  <c r="H71" i="6"/>
  <c r="F71" i="6"/>
  <c r="G71" i="6"/>
  <c r="I71" i="6"/>
  <c r="F80" i="6"/>
  <c r="G19" i="11"/>
  <c r="G37" i="7"/>
  <c r="C133" i="6"/>
  <c r="H258" i="6" s="1"/>
  <c r="H80" i="6"/>
  <c r="C80" i="6"/>
  <c r="E80" i="6"/>
  <c r="D80" i="6"/>
  <c r="B80" i="6"/>
  <c r="G80" i="6"/>
  <c r="I80" i="6"/>
  <c r="G17" i="11"/>
  <c r="F78" i="6"/>
  <c r="H78" i="6"/>
  <c r="G78" i="6"/>
  <c r="C131" i="6"/>
  <c r="H256" i="6" s="1"/>
  <c r="I78" i="6"/>
  <c r="G35" i="7"/>
  <c r="C78" i="6"/>
  <c r="E78" i="6"/>
  <c r="D78" i="6"/>
  <c r="B78" i="6"/>
  <c r="G8" i="11"/>
  <c r="B69" i="6"/>
  <c r="C122" i="6"/>
  <c r="H69" i="6"/>
  <c r="E69" i="6"/>
  <c r="C69" i="6"/>
  <c r="I69" i="6"/>
  <c r="D69" i="6"/>
  <c r="F69" i="6"/>
  <c r="G26" i="7"/>
  <c r="G69" i="6"/>
  <c r="E42" i="2"/>
  <c r="E44" i="2"/>
  <c r="I35" i="6"/>
  <c r="I45" i="6" s="1"/>
  <c r="G35" i="6"/>
  <c r="G53" i="6" s="1"/>
  <c r="E46" i="2"/>
  <c r="H14" i="2"/>
  <c r="D42" i="2"/>
  <c r="C35" i="6"/>
  <c r="C42" i="6" s="1"/>
  <c r="D116" i="8" l="1"/>
  <c r="D107" i="12" s="1"/>
  <c r="I247" i="6"/>
  <c r="H8" i="11"/>
  <c r="H19" i="11"/>
  <c r="I258" i="6"/>
  <c r="AE258" i="6" s="1"/>
  <c r="H17" i="11"/>
  <c r="I256" i="6"/>
  <c r="H12" i="11"/>
  <c r="I251" i="6"/>
  <c r="AE251" i="6" s="1"/>
  <c r="H16" i="11"/>
  <c r="I255" i="6"/>
  <c r="H14" i="11"/>
  <c r="I253" i="6"/>
  <c r="AE253" i="6" s="1"/>
  <c r="H11" i="11"/>
  <c r="I250" i="6"/>
  <c r="AE250" i="6" s="1"/>
  <c r="I249" i="6"/>
  <c r="AE249" i="6" s="1"/>
  <c r="H10" i="11"/>
  <c r="H18" i="11"/>
  <c r="I257" i="6"/>
  <c r="AE257" i="6" s="1"/>
  <c r="H15" i="11"/>
  <c r="I254" i="6"/>
  <c r="AE254" i="6" s="1"/>
  <c r="H9" i="11"/>
  <c r="I248" i="6"/>
  <c r="AE248" i="6" s="1"/>
  <c r="G122" i="11"/>
  <c r="G93" i="12" s="1"/>
  <c r="E93" i="12"/>
  <c r="H121" i="11"/>
  <c r="H92" i="12" s="1"/>
  <c r="F92" i="12"/>
  <c r="G121" i="11"/>
  <c r="G92" i="12" s="1"/>
  <c r="E92" i="12"/>
  <c r="H122" i="11"/>
  <c r="H93" i="12" s="1"/>
  <c r="F93" i="12"/>
  <c r="C116" i="8"/>
  <c r="C107" i="12" s="1"/>
  <c r="AE256" i="6"/>
  <c r="AE255" i="6"/>
  <c r="J78" i="6"/>
  <c r="F256" i="6" s="1"/>
  <c r="J70" i="6"/>
  <c r="F248" i="6" s="1"/>
  <c r="H247" i="6"/>
  <c r="H260" i="6" s="1"/>
  <c r="F272" i="6" s="1"/>
  <c r="C135" i="6"/>
  <c r="J69" i="6"/>
  <c r="F247" i="6" s="1"/>
  <c r="AE247" i="6"/>
  <c r="J80" i="6"/>
  <c r="F258" i="6" s="1"/>
  <c r="J71" i="6"/>
  <c r="F249" i="6" s="1"/>
  <c r="J75" i="6"/>
  <c r="F253" i="6" s="1"/>
  <c r="J73" i="6"/>
  <c r="F251" i="6" s="1"/>
  <c r="J79" i="6"/>
  <c r="F257" i="6" s="1"/>
  <c r="J72" i="6"/>
  <c r="F250" i="6" s="1"/>
  <c r="J77" i="6"/>
  <c r="F255" i="6" s="1"/>
  <c r="J74" i="6"/>
  <c r="F252" i="6" s="1"/>
  <c r="J76" i="6"/>
  <c r="F254" i="6" s="1"/>
  <c r="F116" i="8"/>
  <c r="E116" i="8"/>
  <c r="F115" i="8"/>
  <c r="E115" i="8"/>
  <c r="H46" i="2"/>
  <c r="I11" i="6"/>
  <c r="D44" i="2"/>
  <c r="C49" i="6"/>
  <c r="C43" i="6"/>
  <c r="C53" i="6"/>
  <c r="C48" i="6"/>
  <c r="C52" i="6"/>
  <c r="C46" i="6"/>
  <c r="C51" i="6"/>
  <c r="C50" i="6"/>
  <c r="C11" i="6"/>
  <c r="D46" i="2"/>
  <c r="G11" i="6"/>
  <c r="G18" i="6" s="1"/>
  <c r="C44" i="6"/>
  <c r="H10" i="2"/>
  <c r="H12" i="2"/>
  <c r="C47" i="6"/>
  <c r="C45" i="6"/>
  <c r="I44" i="6"/>
  <c r="I53" i="6"/>
  <c r="I48" i="6"/>
  <c r="G48" i="6"/>
  <c r="G47" i="6"/>
  <c r="G45" i="6"/>
  <c r="I51" i="6"/>
  <c r="I47" i="6"/>
  <c r="I46" i="6"/>
  <c r="G46" i="6"/>
  <c r="G51" i="6"/>
  <c r="G52" i="6"/>
  <c r="I52" i="6"/>
  <c r="I50" i="6"/>
  <c r="I43" i="6"/>
  <c r="G49" i="6"/>
  <c r="G44" i="6"/>
  <c r="G50" i="6"/>
  <c r="I49" i="6"/>
  <c r="I42" i="6"/>
  <c r="G43" i="6"/>
  <c r="G42" i="6"/>
  <c r="H21" i="11" l="1"/>
  <c r="I24" i="11" s="1"/>
  <c r="G115" i="8"/>
  <c r="G106" i="12" s="1"/>
  <c r="E106" i="12"/>
  <c r="H115" i="8"/>
  <c r="H106" i="12" s="1"/>
  <c r="F106" i="12"/>
  <c r="G116" i="8"/>
  <c r="G107" i="12" s="1"/>
  <c r="E107" i="12"/>
  <c r="H116" i="8"/>
  <c r="H107" i="12" s="1"/>
  <c r="F107" i="12"/>
  <c r="AE260" i="6"/>
  <c r="I260" i="6"/>
  <c r="F260" i="6"/>
  <c r="D272" i="6" s="1"/>
  <c r="H44" i="2"/>
  <c r="G22" i="6"/>
  <c r="G23" i="6"/>
  <c r="G21" i="6"/>
  <c r="G20" i="6"/>
  <c r="G24" i="6"/>
  <c r="G26" i="6"/>
  <c r="G25" i="6"/>
  <c r="G28" i="6"/>
  <c r="G29" i="6"/>
  <c r="G19" i="6"/>
  <c r="G27" i="6"/>
  <c r="H42" i="2"/>
  <c r="C28" i="6"/>
  <c r="C19" i="6"/>
  <c r="C26" i="6"/>
  <c r="C20" i="6"/>
  <c r="C27" i="6"/>
  <c r="C18" i="6"/>
  <c r="C24" i="6"/>
  <c r="C25" i="6"/>
  <c r="C21" i="6"/>
  <c r="C29" i="6"/>
  <c r="C22" i="6"/>
  <c r="C23" i="6"/>
  <c r="I23" i="6"/>
  <c r="I27" i="6"/>
  <c r="I28" i="6"/>
  <c r="I19" i="6"/>
  <c r="I25" i="6"/>
  <c r="I29" i="6"/>
  <c r="I24" i="6"/>
  <c r="I21" i="6"/>
  <c r="I26" i="6"/>
  <c r="I20" i="6"/>
  <c r="I22" i="6"/>
  <c r="I18" i="6"/>
  <c r="E40" i="2"/>
  <c r="E16" i="2"/>
  <c r="E48" i="2" s="1"/>
  <c r="E35" i="6"/>
  <c r="E42" i="6" s="1"/>
  <c r="J42" i="6" s="1"/>
  <c r="C247" i="6" s="1"/>
  <c r="D16" i="2"/>
  <c r="C11" i="3" l="1"/>
  <c r="F11" i="3" s="1"/>
  <c r="D48" i="2"/>
  <c r="C10" i="3"/>
  <c r="F10" i="3" s="1"/>
  <c r="D40" i="2"/>
  <c r="H8" i="2"/>
  <c r="E11" i="6"/>
  <c r="E47" i="6"/>
  <c r="J47" i="6" s="1"/>
  <c r="C252" i="6" s="1"/>
  <c r="E53" i="6"/>
  <c r="J53" i="6" s="1"/>
  <c r="C258" i="6" s="1"/>
  <c r="E52" i="6"/>
  <c r="J52" i="6" s="1"/>
  <c r="C257" i="6" s="1"/>
  <c r="E44" i="6"/>
  <c r="J44" i="6" s="1"/>
  <c r="C249" i="6" s="1"/>
  <c r="E43" i="6"/>
  <c r="J43" i="6" s="1"/>
  <c r="C248" i="6" s="1"/>
  <c r="E45" i="6"/>
  <c r="J45" i="6" s="1"/>
  <c r="C250" i="6" s="1"/>
  <c r="E50" i="6"/>
  <c r="J50" i="6" s="1"/>
  <c r="C255" i="6" s="1"/>
  <c r="E48" i="6"/>
  <c r="J48" i="6" s="1"/>
  <c r="C253" i="6" s="1"/>
  <c r="E51" i="6"/>
  <c r="J51" i="6" s="1"/>
  <c r="C256" i="6" s="1"/>
  <c r="E49" i="6"/>
  <c r="J49" i="6" s="1"/>
  <c r="C254" i="6" s="1"/>
  <c r="E46" i="6"/>
  <c r="J46" i="6" s="1"/>
  <c r="C251" i="6" s="1"/>
  <c r="F21" i="3" l="1"/>
  <c r="C31" i="12" s="1"/>
  <c r="C260" i="6"/>
  <c r="H16" i="2"/>
  <c r="H19" i="2" s="1"/>
  <c r="H40" i="2"/>
  <c r="E29" i="6"/>
  <c r="J29" i="6" s="1"/>
  <c r="B258" i="6" s="1"/>
  <c r="AB258" i="6" s="1"/>
  <c r="AD258" i="6" s="1"/>
  <c r="E21" i="6"/>
  <c r="J21" i="6" s="1"/>
  <c r="B250" i="6" s="1"/>
  <c r="AB250" i="6" s="1"/>
  <c r="AD250" i="6" s="1"/>
  <c r="E27" i="6"/>
  <c r="J27" i="6" s="1"/>
  <c r="B256" i="6" s="1"/>
  <c r="AB256" i="6" s="1"/>
  <c r="AD256" i="6" s="1"/>
  <c r="E19" i="6"/>
  <c r="J19" i="6" s="1"/>
  <c r="B248" i="6" s="1"/>
  <c r="AB248" i="6" s="1"/>
  <c r="AD248" i="6" s="1"/>
  <c r="E26" i="6"/>
  <c r="J26" i="6" s="1"/>
  <c r="B255" i="6" s="1"/>
  <c r="AB255" i="6" s="1"/>
  <c r="AD255" i="6" s="1"/>
  <c r="E24" i="6"/>
  <c r="J24" i="6" s="1"/>
  <c r="B253" i="6" s="1"/>
  <c r="AB253" i="6" s="1"/>
  <c r="AD253" i="6" s="1"/>
  <c r="E25" i="6"/>
  <c r="J25" i="6" s="1"/>
  <c r="B254" i="6" s="1"/>
  <c r="AB254" i="6" s="1"/>
  <c r="AD254" i="6" s="1"/>
  <c r="E20" i="6"/>
  <c r="J20" i="6" s="1"/>
  <c r="B249" i="6" s="1"/>
  <c r="AB249" i="6" s="1"/>
  <c r="AD249" i="6" s="1"/>
  <c r="E23" i="6"/>
  <c r="J23" i="6" s="1"/>
  <c r="B252" i="6" s="1"/>
  <c r="AB252" i="6" s="1"/>
  <c r="AD252" i="6" s="1"/>
  <c r="E28" i="6"/>
  <c r="J28" i="6" s="1"/>
  <c r="B257" i="6" s="1"/>
  <c r="AB257" i="6" s="1"/>
  <c r="AD257" i="6" s="1"/>
  <c r="E22" i="6"/>
  <c r="J22" i="6" s="1"/>
  <c r="B251" i="6" s="1"/>
  <c r="AB251" i="6" s="1"/>
  <c r="AD251" i="6" s="1"/>
  <c r="E18" i="6"/>
  <c r="J18" i="6" s="1"/>
  <c r="B247" i="6" s="1"/>
  <c r="AB247" i="6" s="1"/>
  <c r="J8" i="2" l="1"/>
  <c r="AB260" i="6"/>
  <c r="AD247" i="6"/>
  <c r="AD260" i="6" s="1"/>
  <c r="G61" i="12" s="1"/>
  <c r="G16" i="3"/>
  <c r="C26" i="12" s="1"/>
  <c r="G12" i="3"/>
  <c r="C22" i="12" s="1"/>
  <c r="G15" i="3"/>
  <c r="C25" i="12" s="1"/>
  <c r="G14" i="3"/>
  <c r="C24" i="12" s="1"/>
  <c r="G13" i="3"/>
  <c r="C23" i="12" s="1"/>
  <c r="G11" i="3"/>
  <c r="C21" i="12" s="1"/>
  <c r="G10" i="3"/>
  <c r="C20" i="12" s="1"/>
  <c r="AF252" i="6"/>
  <c r="H31" i="7" s="1"/>
  <c r="AF255" i="6"/>
  <c r="H34" i="7" s="1"/>
  <c r="AF258" i="6"/>
  <c r="H37" i="7" s="1"/>
  <c r="AF247" i="6"/>
  <c r="B260" i="6"/>
  <c r="AF249" i="6"/>
  <c r="H28" i="7" s="1"/>
  <c r="AF248" i="6"/>
  <c r="H27" i="7" s="1"/>
  <c r="AF251" i="6"/>
  <c r="H30" i="7" s="1"/>
  <c r="AF254" i="6"/>
  <c r="H33" i="7" s="1"/>
  <c r="AF256" i="6"/>
  <c r="H35" i="7" s="1"/>
  <c r="H48" i="2"/>
  <c r="G21" i="3"/>
  <c r="G17" i="3"/>
  <c r="C27" i="12" s="1"/>
  <c r="AA17" i="3"/>
  <c r="AA20" i="3" s="1"/>
  <c r="Y26" i="3" s="1"/>
  <c r="G56" i="12" s="1"/>
  <c r="M42" i="3"/>
  <c r="B20" i="5" s="1"/>
  <c r="AF257" i="6"/>
  <c r="H36" i="7" s="1"/>
  <c r="AF253" i="6"/>
  <c r="H32" i="7" s="1"/>
  <c r="AF250" i="6"/>
  <c r="H29" i="7" s="1"/>
  <c r="J12" i="2"/>
  <c r="J11" i="2"/>
  <c r="J10" i="2"/>
  <c r="J14" i="2"/>
  <c r="J15" i="2"/>
  <c r="J9" i="2"/>
  <c r="J18" i="2"/>
  <c r="J13" i="2"/>
  <c r="D29" i="2"/>
  <c r="C29" i="12" l="1"/>
  <c r="M34" i="5"/>
  <c r="L34" i="5"/>
  <c r="K34" i="5"/>
  <c r="J34" i="5"/>
  <c r="J33" i="5"/>
  <c r="N34" i="5"/>
  <c r="O34" i="5"/>
  <c r="P34" i="5"/>
  <c r="Q34" i="5"/>
  <c r="R34" i="5"/>
  <c r="S34" i="5"/>
  <c r="T34" i="5"/>
  <c r="U34" i="5"/>
  <c r="K33" i="5"/>
  <c r="O33" i="5"/>
  <c r="S33" i="5"/>
  <c r="N33" i="5"/>
  <c r="U33" i="5"/>
  <c r="P33" i="5"/>
  <c r="T33" i="5"/>
  <c r="L33" i="5"/>
  <c r="M33" i="5"/>
  <c r="Q33" i="5"/>
  <c r="R33" i="5"/>
  <c r="I4" i="11"/>
  <c r="K261" i="6"/>
  <c r="H273" i="6" s="1"/>
  <c r="D261" i="6"/>
  <c r="F261" i="6"/>
  <c r="D273" i="6" s="1"/>
  <c r="E261" i="6"/>
  <c r="C261" i="6"/>
  <c r="J261" i="6"/>
  <c r="G273" i="6" s="1"/>
  <c r="G261" i="6"/>
  <c r="E273" i="6" s="1"/>
  <c r="L261" i="6"/>
  <c r="I273" i="6" s="1"/>
  <c r="H261" i="6"/>
  <c r="F273" i="6" s="1"/>
  <c r="B272" i="6"/>
  <c r="B261" i="6"/>
  <c r="H26" i="7"/>
  <c r="AF260" i="6"/>
  <c r="J19" i="2"/>
  <c r="D27" i="2"/>
  <c r="H52" i="2"/>
  <c r="J48" i="2" s="1"/>
  <c r="P30" i="5"/>
  <c r="U38" i="5"/>
  <c r="P41" i="5"/>
  <c r="Q36" i="5"/>
  <c r="T30" i="5"/>
  <c r="L40" i="5"/>
  <c r="K41" i="5"/>
  <c r="S23" i="5"/>
  <c r="O38" i="5"/>
  <c r="O41" i="5"/>
  <c r="Q42" i="5"/>
  <c r="U36" i="5"/>
  <c r="O26" i="5"/>
  <c r="R35" i="5"/>
  <c r="O36" i="5"/>
  <c r="M31" i="5"/>
  <c r="R36" i="5"/>
  <c r="L37" i="5"/>
  <c r="P28" i="5"/>
  <c r="S37" i="5"/>
  <c r="P36" i="5"/>
  <c r="M25" i="5"/>
  <c r="T32" i="5"/>
  <c r="N27" i="5"/>
  <c r="T26" i="5"/>
  <c r="N40" i="5"/>
  <c r="N36" i="5"/>
  <c r="M26" i="5"/>
  <c r="L30" i="5"/>
  <c r="R26" i="5"/>
  <c r="U31" i="5"/>
  <c r="S29" i="5"/>
  <c r="T39" i="5"/>
  <c r="T37" i="5"/>
  <c r="P42" i="5"/>
  <c r="S27" i="5"/>
  <c r="R40" i="5"/>
  <c r="O40" i="5"/>
  <c r="O29" i="5"/>
  <c r="S42" i="5"/>
  <c r="O27" i="5"/>
  <c r="S41" i="5"/>
  <c r="R32" i="5"/>
  <c r="K24" i="5"/>
  <c r="R42" i="5"/>
  <c r="S25" i="5"/>
  <c r="N37" i="5"/>
  <c r="M23" i="5"/>
  <c r="L28" i="5"/>
  <c r="U39" i="5"/>
  <c r="M32" i="5"/>
  <c r="L23" i="5"/>
  <c r="P26" i="5"/>
  <c r="O24" i="5"/>
  <c r="Q27" i="5"/>
  <c r="K26" i="5"/>
  <c r="R25" i="5"/>
  <c r="Q23" i="5"/>
  <c r="U35" i="5"/>
  <c r="T42" i="5"/>
  <c r="Q35" i="5"/>
  <c r="O37" i="5"/>
  <c r="Q30" i="5"/>
  <c r="L32" i="5"/>
  <c r="M40" i="5"/>
  <c r="M35" i="5"/>
  <c r="O25" i="5"/>
  <c r="N39" i="5"/>
  <c r="P38" i="5"/>
  <c r="Q26" i="5"/>
  <c r="T23" i="5"/>
  <c r="L41" i="5"/>
  <c r="K40" i="5"/>
  <c r="P40" i="5"/>
  <c r="U40" i="5"/>
  <c r="S38" i="5"/>
  <c r="L25" i="5"/>
  <c r="P32" i="5"/>
  <c r="P23" i="5"/>
  <c r="S31" i="5"/>
  <c r="N41" i="5"/>
  <c r="L31" i="5"/>
  <c r="M37" i="5"/>
  <c r="P35" i="5"/>
  <c r="K23" i="5"/>
  <c r="K28" i="5"/>
  <c r="T41" i="5"/>
  <c r="N28" i="5"/>
  <c r="S26" i="5"/>
  <c r="P24" i="5"/>
  <c r="L26" i="5"/>
  <c r="U26" i="5"/>
  <c r="P31" i="5"/>
  <c r="O30" i="5"/>
  <c r="K29" i="5"/>
  <c r="S24" i="5"/>
  <c r="K25" i="5"/>
  <c r="L24" i="5"/>
  <c r="O31" i="5"/>
  <c r="J31" i="5"/>
  <c r="Q41" i="5"/>
  <c r="S39" i="5"/>
  <c r="Q37" i="5"/>
  <c r="M30" i="5"/>
  <c r="N38" i="5"/>
  <c r="T24" i="5"/>
  <c r="M42" i="5"/>
  <c r="L38" i="5"/>
  <c r="N31" i="5"/>
  <c r="T40" i="5"/>
  <c r="U32" i="5"/>
  <c r="S35" i="5"/>
  <c r="O42" i="5"/>
  <c r="Q38" i="5"/>
  <c r="K39" i="5"/>
  <c r="N24" i="5"/>
  <c r="P37" i="5"/>
  <c r="O28" i="5"/>
  <c r="O35" i="5"/>
  <c r="L27" i="5"/>
  <c r="Q40" i="5"/>
  <c r="N35" i="5"/>
  <c r="U41" i="5"/>
  <c r="P29" i="5"/>
  <c r="R39" i="5"/>
  <c r="U24" i="5"/>
  <c r="R24" i="5"/>
  <c r="U23" i="5"/>
  <c r="O23" i="5"/>
  <c r="N26" i="5"/>
  <c r="L36" i="5"/>
  <c r="K38" i="5"/>
  <c r="U37" i="5"/>
  <c r="Q32" i="5"/>
  <c r="R31" i="5"/>
  <c r="M29" i="5"/>
  <c r="M27" i="5"/>
  <c r="T29" i="5"/>
  <c r="S28" i="5"/>
  <c r="U27" i="5"/>
  <c r="N29" i="5"/>
  <c r="S32" i="5"/>
  <c r="N25" i="5"/>
  <c r="L29" i="5"/>
  <c r="L42" i="5"/>
  <c r="M28" i="5"/>
  <c r="K42" i="5"/>
  <c r="T28" i="5"/>
  <c r="S30" i="5"/>
  <c r="U42" i="5"/>
  <c r="Q31" i="5"/>
  <c r="K37" i="5"/>
  <c r="K31" i="5"/>
  <c r="R29" i="5"/>
  <c r="R23" i="5"/>
  <c r="N30" i="5"/>
  <c r="K30" i="5"/>
  <c r="R28" i="5"/>
  <c r="T35" i="5"/>
  <c r="S36" i="5"/>
  <c r="P39" i="5"/>
  <c r="K27" i="5"/>
  <c r="M24" i="5"/>
  <c r="R38" i="5"/>
  <c r="O32" i="5"/>
  <c r="L35" i="5"/>
  <c r="K36" i="5"/>
  <c r="P25" i="5"/>
  <c r="N42" i="5"/>
  <c r="N23" i="5"/>
  <c r="M39" i="5"/>
  <c r="S40" i="5"/>
  <c r="O39" i="5"/>
  <c r="Q39" i="5"/>
  <c r="K32" i="5"/>
  <c r="R41" i="5"/>
  <c r="U28" i="5"/>
  <c r="T31" i="5"/>
  <c r="P27" i="5"/>
  <c r="M36" i="5"/>
  <c r="Q24" i="5"/>
  <c r="M41" i="5"/>
  <c r="U30" i="5"/>
  <c r="T25" i="5"/>
  <c r="R37" i="5"/>
  <c r="Q29" i="5"/>
  <c r="Q28" i="5"/>
  <c r="R27" i="5"/>
  <c r="T36" i="5"/>
  <c r="N32" i="5"/>
  <c r="U25" i="5"/>
  <c r="U29" i="5"/>
  <c r="L39" i="5"/>
  <c r="R30" i="5"/>
  <c r="T27" i="5"/>
  <c r="K35" i="5"/>
  <c r="Q25" i="5"/>
  <c r="M38" i="5"/>
  <c r="T38" i="5"/>
  <c r="J27" i="5"/>
  <c r="J40" i="5"/>
  <c r="J26" i="5"/>
  <c r="J28" i="5"/>
  <c r="J24" i="5"/>
  <c r="J32" i="5"/>
  <c r="J35" i="5"/>
  <c r="J30" i="5"/>
  <c r="J36" i="5"/>
  <c r="J37" i="5"/>
  <c r="J38" i="5"/>
  <c r="J29" i="5"/>
  <c r="J42" i="5"/>
  <c r="J39" i="5"/>
  <c r="J41" i="5"/>
  <c r="J25" i="5"/>
  <c r="J23" i="5"/>
  <c r="D264" i="6"/>
  <c r="AA21" i="3"/>
  <c r="I26" i="7" l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D265" i="6"/>
  <c r="F82" i="12"/>
  <c r="V34" i="5"/>
  <c r="N23" i="3" s="1"/>
  <c r="O23" i="3" s="1"/>
  <c r="V33" i="5"/>
  <c r="N22" i="3" s="1"/>
  <c r="O22" i="3" s="1"/>
  <c r="C273" i="6"/>
  <c r="B273" i="6"/>
  <c r="V23" i="5"/>
  <c r="N9" i="3" s="1"/>
  <c r="O9" i="3" s="1"/>
  <c r="V42" i="5"/>
  <c r="N34" i="3" s="1"/>
  <c r="O34" i="3" s="1"/>
  <c r="V36" i="5"/>
  <c r="N25" i="3" s="1"/>
  <c r="O25" i="3" s="1"/>
  <c r="V24" i="5"/>
  <c r="V27" i="5"/>
  <c r="N16" i="3" s="1"/>
  <c r="O16" i="3" s="1"/>
  <c r="V41" i="5"/>
  <c r="N33" i="3" s="1"/>
  <c r="O33" i="3" s="1"/>
  <c r="V38" i="5"/>
  <c r="N27" i="3" s="1"/>
  <c r="O27" i="3" s="1"/>
  <c r="V35" i="5"/>
  <c r="N24" i="3" s="1"/>
  <c r="O24" i="3" s="1"/>
  <c r="V26" i="5"/>
  <c r="N12" i="3" s="1"/>
  <c r="O12" i="3" s="1"/>
  <c r="V39" i="5"/>
  <c r="N31" i="3" s="1"/>
  <c r="O31" i="3" s="1"/>
  <c r="V37" i="5"/>
  <c r="N26" i="3" s="1"/>
  <c r="O26" i="3" s="1"/>
  <c r="V25" i="5"/>
  <c r="N11" i="3" s="1"/>
  <c r="O11" i="3" s="1"/>
  <c r="V29" i="5"/>
  <c r="N18" i="3" s="1"/>
  <c r="O18" i="3" s="1"/>
  <c r="V30" i="5"/>
  <c r="N19" i="3" s="1"/>
  <c r="O19" i="3" s="1"/>
  <c r="V28" i="5"/>
  <c r="N17" i="3" s="1"/>
  <c r="O17" i="3" s="1"/>
  <c r="V32" i="5"/>
  <c r="N21" i="3" s="1"/>
  <c r="O21" i="3" s="1"/>
  <c r="V40" i="5"/>
  <c r="N32" i="3" s="1"/>
  <c r="O32" i="3" s="1"/>
  <c r="V31" i="5"/>
  <c r="N20" i="3" s="1"/>
  <c r="O20" i="3" s="1"/>
  <c r="J50" i="2"/>
  <c r="J52" i="2" s="1"/>
  <c r="J43" i="2"/>
  <c r="J42" i="2"/>
  <c r="J45" i="2"/>
  <c r="D25" i="2"/>
  <c r="G53" i="2"/>
  <c r="J44" i="2"/>
  <c r="J41" i="2"/>
  <c r="J46" i="2"/>
  <c r="J47" i="2"/>
  <c r="J40" i="2"/>
  <c r="D266" i="6" l="1"/>
  <c r="F84" i="12" s="1"/>
  <c r="F83" i="12"/>
  <c r="N10" i="3"/>
  <c r="O10" i="3" s="1"/>
  <c r="Q37" i="3" s="1"/>
  <c r="J273" i="6"/>
  <c r="B14" i="9" l="1"/>
  <c r="G42" i="12"/>
  <c r="X7" i="3"/>
  <c r="E15" i="9"/>
  <c r="E25" i="9" s="1"/>
  <c r="B15" i="9"/>
  <c r="E14" i="9"/>
  <c r="E21" i="9" s="1"/>
  <c r="X12" i="3" l="1"/>
  <c r="X10" i="3"/>
  <c r="X9" i="3"/>
  <c r="X11" i="3"/>
  <c r="X8" i="3"/>
  <c r="E22" i="9"/>
  <c r="E20" i="9"/>
  <c r="E19" i="9"/>
  <c r="E23" i="9"/>
  <c r="AC11" i="3" l="1"/>
  <c r="D51" i="12"/>
  <c r="G51" i="12" s="1"/>
  <c r="AC9" i="3"/>
  <c r="D49" i="12"/>
  <c r="G49" i="12" s="1"/>
  <c r="AC10" i="3"/>
  <c r="D50" i="12"/>
  <c r="G50" i="12" s="1"/>
  <c r="AC8" i="3"/>
  <c r="D48" i="12"/>
  <c r="G48" i="12" s="1"/>
  <c r="AC12" i="3"/>
  <c r="D52" i="12"/>
  <c r="G52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Alfredo</author>
  </authors>
  <commentList>
    <comment ref="C6" authorId="0" shapeId="0" xr:uid="{D1A294B5-EA2C-4E9B-BCC5-60CE7AC726FA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Incluyendo espesor del piso y del techo. En techos inclinados, poner altura media</t>
        </r>
      </text>
    </comment>
    <comment ref="A21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Correspondiente a los muros expuestos, donde haya colindancia, no contabilizarlos y sólo se calcula en PB.
</t>
        </r>
      </text>
    </comment>
    <comment ref="A23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Eliminando superficie de garages o lavanderías que no se calefaccionan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LAHV-CRICYT</author>
    <author>AlfredoE</author>
    <author>Alfredo Esteves</author>
    <author>Esteves</author>
  </authors>
  <commentList>
    <comment ref="Z6" authorId="0" shapeId="0" xr:uid="{00000000-0006-0000-0200-000001000000}">
      <text>
        <r>
          <rPr>
            <u/>
            <sz val="8"/>
            <color indexed="81"/>
            <rFont val="Tahoma"/>
            <family val="2"/>
          </rPr>
          <t>Rendimientos típicos:</t>
        </r>
        <r>
          <rPr>
            <sz val="8"/>
            <color indexed="81"/>
            <rFont val="Tahoma"/>
            <family val="2"/>
          </rPr>
          <t xml:space="preserve">
1.00 para infrarrojos 
1.00 para calefacción por energía eléctrica.
0.75 para estufas de tiro balanceado 
0,75 para estufas a leña de alto rendimiento.
0.40 para hogares a leña 
0,50 para salamandras a leña
0.85 calefacción central por radiadores y/o piso radiante a gas.</t>
        </r>
      </text>
    </comment>
    <comment ref="AB8" authorId="1" shapeId="0" xr:uid="{26E7697B-59F1-4339-BEEA-8CC92E68A640}">
      <text>
        <r>
          <rPr>
            <sz val="9"/>
            <color indexed="81"/>
            <rFont val="Tahoma"/>
            <family val="2"/>
          </rPr>
          <t>$/kWh</t>
        </r>
      </text>
    </comment>
    <comment ref="L9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Ganancia Directa con un solo vidrio y sin aislacion nocturna.
</t>
        </r>
      </text>
    </comment>
    <comment ref="AB9" authorId="1" shapeId="0" xr:uid="{F5D292DF-F8DF-4CBF-B770-3762DE551BF9}">
      <text>
        <r>
          <rPr>
            <sz val="9"/>
            <color indexed="81"/>
            <rFont val="Tahoma"/>
            <family val="2"/>
          </rPr>
          <t>$/kg</t>
        </r>
      </text>
    </comment>
    <comment ref="D10" authorId="2" shapeId="0" xr:uid="{00000000-0006-0000-0200-00000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Ganancia Directa con dos vidrios (DVH) y sin aislacion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10" authorId="1" shapeId="0" xr:uid="{A0428E48-C38C-410C-A80A-9B2F39A4A1E7}">
      <text>
        <r>
          <rPr>
            <b/>
            <sz val="9"/>
            <color indexed="81"/>
            <rFont val="Tahoma"/>
            <family val="2"/>
          </rPr>
          <t>$/m3</t>
        </r>
        <r>
          <rPr>
            <sz val="9"/>
            <color indexed="81"/>
            <rFont val="Tahoma"/>
            <family val="2"/>
          </rPr>
          <t xml:space="preserve">
Aquí debe tener en cuenta que esto puede ser variable con el consumo, verifique</t>
        </r>
      </text>
    </comment>
    <comment ref="D11" authorId="2" shapeId="0" xr:uid="{00000000-0006-0000-0200-00000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0" shapeId="0" xr:uid="{00000000-0006-0000-0200-000009000000}">
      <text>
        <r>
          <rPr>
            <sz val="8"/>
            <color indexed="81"/>
            <rFont val="Tahoma"/>
            <family val="2"/>
          </rPr>
          <t>Ganancia Directa con un solo vidrio más aislación nocturna</t>
        </r>
      </text>
    </comment>
    <comment ref="AB11" authorId="1" shapeId="0" xr:uid="{704224B1-8251-406B-ABDE-66244C4B7657}">
      <text>
        <r>
          <rPr>
            <b/>
            <sz val="9"/>
            <color indexed="81"/>
            <rFont val="Tahoma"/>
            <family val="2"/>
          </rPr>
          <t>$/litro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2" authorId="2" shapeId="0" xr:uid="{00000000-0006-0000-0200-00000B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2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Ganancia Directa con 2 vidrios (DVH) más aislación nocturna </t>
        </r>
      </text>
    </comment>
    <comment ref="AB12" authorId="1" shapeId="0" xr:uid="{ABFBF8E5-F053-4905-847A-F8402311548A}">
      <text>
        <r>
          <rPr>
            <b/>
            <sz val="9"/>
            <color indexed="81"/>
            <rFont val="Tahoma"/>
            <family val="2"/>
          </rPr>
          <t>$/kg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3" authorId="2" shapeId="0" xr:uid="{00000000-0006-0000-0200-00000E000000}">
      <text>
        <r>
          <rPr>
            <sz val="8"/>
            <color indexed="81"/>
            <rFont val="Tahoma"/>
            <family val="2"/>
          </rPr>
          <t>Observar el valor en Kcomp, sino calcularlo en Kcomp al final</t>
        </r>
      </text>
    </comment>
    <comment ref="D14" authorId="2" shapeId="0" xr:uid="{00000000-0006-0000-0200-00000F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5" authorId="2" shapeId="0" xr:uid="{00000000-0006-0000-0200-000010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2" shapeId="0" xr:uid="{00000000-0006-0000-0200-000011000000}">
      <text>
        <r>
          <rPr>
            <b/>
            <sz val="8"/>
            <color indexed="81"/>
            <rFont val="Tahoma"/>
            <family val="2"/>
          </rPr>
          <t xml:space="preserve">0 para fundaciones no aisladas térmicamente.
Para fundaciones con aislación térmica colocar la conductancia térmica ver en Kcomp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6" authorId="0" shapeId="0" xr:uid="{00000000-0006-0000-0200-000012000000}">
      <text>
        <r>
          <rPr>
            <sz val="8"/>
            <color indexed="81"/>
            <rFont val="Tahoma"/>
            <family val="2"/>
          </rPr>
          <t>Muro Trombe de Hormigón con un solo vidrio y sin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7" authorId="0" shapeId="0" xr:uid="{00000000-0006-0000-0200-000013000000}">
      <text>
        <r>
          <rPr>
            <sz val="8"/>
            <color indexed="81"/>
            <rFont val="Tahoma"/>
            <family val="2"/>
          </rPr>
          <t xml:space="preserve">Muro Trombe de hormigón con 1 vidrio más aislación nocturna
</t>
        </r>
      </text>
    </comment>
    <comment ref="L18" authorId="0" shapeId="0" xr:uid="{00000000-0006-0000-0200-000014000000}">
      <text>
        <r>
          <rPr>
            <sz val="8"/>
            <color indexed="81"/>
            <rFont val="Tahoma"/>
            <family val="2"/>
          </rPr>
          <t>Muro trombe con 2 vidrios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8" authorId="2" shapeId="0" xr:uid="{00000000-0006-0000-0200-000015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9" authorId="1" shapeId="0" xr:uid="{00000000-0006-0000-0200-000016000000}">
      <text>
        <r>
          <rPr>
            <b/>
            <sz val="9"/>
            <color indexed="81"/>
            <rFont val="Tahoma"/>
            <family val="2"/>
          </rPr>
          <t>AlfredoE:</t>
        </r>
        <r>
          <rPr>
            <sz val="9"/>
            <color indexed="81"/>
            <rFont val="Tahoma"/>
            <family val="2"/>
          </rPr>
          <t xml:space="preserve">
Densidad relativa del aire (adimensional). Se calcula a partir de la altitud s.n.m.
</t>
        </r>
      </text>
    </comment>
    <comment ref="L19" authorId="0" shapeId="0" xr:uid="{00000000-0006-0000-0200-000017000000}">
      <text>
        <r>
          <rPr>
            <sz val="8"/>
            <color indexed="81"/>
            <rFont val="Tahoma"/>
            <family val="2"/>
          </rPr>
          <t>Muro Trombe Hormigón con 2 vidrios más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Y19" authorId="2" shapeId="0" xr:uid="{00000000-0006-0000-0200-000018000000}">
      <text>
        <r>
          <rPr>
            <b/>
            <sz val="8"/>
            <color indexed="81"/>
            <rFont val="Tahoma"/>
            <family val="2"/>
          </rPr>
          <t>Observar el valor en Kcomp, sino calcularlo en Kcomp al final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Renovaciones de Aire por hora
</t>
        </r>
      </text>
    </comment>
    <comment ref="D20" authorId="2" shapeId="0" xr:uid="{00000000-0006-0000-0200-00001A000000}">
      <text>
        <r>
          <rPr>
            <b/>
            <sz val="8"/>
            <color indexed="81"/>
            <rFont val="Tahoma"/>
            <family val="2"/>
          </rPr>
          <t>RAH= 3 para ventanas con simple contacto y sin burletes
RAH= 1.5 para puertas y ventanas con simple contacto y burletes
RAH= 1.5 para puertas y ventanas con doble contacto sin burletes
RAH= 0.5 para puertas y ventanas con doble contacto y burletes en ellos.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0" authorId="0" shapeId="0" xr:uid="{00000000-0006-0000-0200-00001B000000}">
      <text>
        <r>
          <rPr>
            <sz val="8"/>
            <color indexed="81"/>
            <rFont val="Tahoma"/>
            <family val="2"/>
          </rPr>
          <t xml:space="preserve">Muro Trombe de ladrillo con dos vidrios
</t>
        </r>
      </text>
    </comment>
    <comment ref="L21" authorId="0" shapeId="0" xr:uid="{00000000-0006-0000-0200-00001C000000}">
      <text>
        <r>
          <rPr>
            <b/>
            <sz val="8"/>
            <color indexed="81"/>
            <rFont val="Tahoma"/>
            <family val="2"/>
          </rPr>
          <t>Muro Trombe de Adobe con dos vidrios</t>
        </r>
      </text>
    </comment>
    <comment ref="L22" authorId="3" shapeId="0" xr:uid="{00000000-0006-0000-0200-00001D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vidrio simple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3" authorId="3" shapeId="0" xr:uid="{00000000-0006-0000-0200-00001E000000}">
      <text>
        <r>
          <rPr>
            <b/>
            <sz val="8"/>
            <color indexed="81"/>
            <rFont val="Tahoma"/>
            <family val="2"/>
          </rPr>
          <t>Muro Trombe de bloques de hormigón rellenos con hormigón pobre, con DVH sin aislación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4" authorId="0" shapeId="0" xr:uid="{00000000-0006-0000-0200-00001F000000}">
      <text>
        <r>
          <rPr>
            <b/>
            <sz val="8"/>
            <color indexed="81"/>
            <rFont val="Tahoma"/>
            <family val="2"/>
          </rPr>
          <t>Muro de agua de 22 cm promedio y un solo vidrio.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5" authorId="0" shapeId="0" xr:uid="{00000000-0006-0000-0200-000020000000}">
      <text>
        <r>
          <rPr>
            <b/>
            <sz val="8"/>
            <color indexed="81"/>
            <rFont val="Tahoma"/>
            <family val="2"/>
          </rPr>
          <t>Muro de agua de 22 cm promedio con doble vidriado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6" authorId="0" shapeId="0" xr:uid="{00000000-0006-0000-0200-000021000000}">
      <text>
        <r>
          <rPr>
            <b/>
            <sz val="8"/>
            <color indexed="81"/>
            <rFont val="Tahoma"/>
            <family val="2"/>
          </rPr>
          <t>Muro de agua de 22 cm promedio con un solo vidrio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27" authorId="0" shapeId="0" xr:uid="{00000000-0006-0000-0200-000022000000}">
      <text>
        <r>
          <rPr>
            <b/>
            <sz val="8"/>
            <color indexed="81"/>
            <rFont val="Tahoma"/>
            <family val="2"/>
          </rPr>
          <t>Muro de agua de 22 cm promedio con doble vidriado y aisl. nocturna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1" authorId="0" shapeId="0" xr:uid="{00000000-0006-0000-0200-000023000000}">
      <text>
        <r>
          <rPr>
            <sz val="8"/>
            <color indexed="81"/>
            <rFont val="Tahoma"/>
            <family val="2"/>
          </rPr>
          <t>Invernadero Adosado con muro macizo, aventanamiento vertical y techo vidriado a 30°</t>
        </r>
      </text>
    </comment>
    <comment ref="L32" authorId="0" shapeId="0" xr:uid="{00000000-0006-0000-0200-000024000000}">
      <text>
        <r>
          <rPr>
            <sz val="8"/>
            <color indexed="81"/>
            <rFont val="Tahoma"/>
            <family val="2"/>
          </rPr>
          <t>Invernadero adosado con muro posterior aislado térmicamente. Con aventanamiento vertical y techo vidriado inclinado a 30°.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3" authorId="0" shapeId="0" xr:uid="{00000000-0006-0000-0200-000025000000}">
      <text>
        <r>
          <rPr>
            <sz val="8"/>
            <color indexed="81"/>
            <rFont val="Tahoma"/>
            <family val="2"/>
          </rPr>
          <t>Invernadero Integrado con muro macizo, aventanamiento vertical y techo vidriado a 30° y con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34" authorId="0" shapeId="0" xr:uid="{00000000-0006-0000-0200-000026000000}">
      <text>
        <r>
          <rPr>
            <sz val="8"/>
            <color indexed="81"/>
            <rFont val="Tahoma"/>
            <family val="2"/>
          </rPr>
          <t>Invernadero Integrado con muro macizo, sólo aventanamiento vertical  y con aislación nocturna.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AlfredoE</author>
  </authors>
  <commentList>
    <comment ref="H15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5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colocar espesor en metros, si no hay mas capas poner 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7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8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8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19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M19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</text>
    </comment>
    <comment ref="H2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1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1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colocar espesor en metros, si no hay mas capas poner 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 Esteves</author>
  </authors>
  <commentList>
    <comment ref="B92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colocar en función de la tabla adjunta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2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D92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92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F92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92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9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I92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 xml:space="preserve">colocar en función de la tabla adjunta
</t>
        </r>
      </text>
    </comment>
    <comment ref="G266" authorId="0" shapeId="0" xr:uid="{00000000-0006-0000-0500-000009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66" authorId="0" shapeId="0" xr:uid="{00000000-0006-0000-0500-00000A000000}">
      <text>
        <r>
          <rPr>
            <b/>
            <sz val="8"/>
            <color indexed="81"/>
            <rFont val="Tahoma"/>
            <family val="2"/>
          </rPr>
          <t>colocar la temperatura de confort interior (se sugiere la máxima)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Alfredo</author>
  </authors>
  <commentList>
    <comment ref="B10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superficie cubierta a calefaccionar</t>
        </r>
      </text>
    </comment>
    <comment ref="B11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horizontal o inclinada / superfiie cubierta a calefaccionar</t>
        </r>
      </text>
    </comment>
    <comment ref="B12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vertical / superfiie cubierta a calefaccionar
</t>
        </r>
      </text>
    </comment>
    <comment ref="B13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Superficie de envolvente / volumen interior 
</t>
        </r>
      </text>
    </comment>
    <comment ref="G42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Cantidad de energía anual necesaria aportada por el sol (en %)</t>
        </r>
      </text>
    </comment>
    <comment ref="G46" authorId="0" shapeId="0" xr:uid="{00000000-0006-0000-0A00-000006000000}">
      <text>
        <r>
          <rPr>
            <b/>
            <sz val="9"/>
            <color indexed="81"/>
            <rFont val="Tahoma"/>
            <family val="2"/>
          </rPr>
          <t>Alfredo:</t>
        </r>
        <r>
          <rPr>
            <sz val="9"/>
            <color indexed="81"/>
            <rFont val="Tahoma"/>
            <family val="2"/>
          </rPr>
          <t xml:space="preserve">
Revisar el rendimiento en solapa balance de calefaccion para ajustar al combustible utilizado</t>
        </r>
      </text>
    </comment>
  </commentList>
</comments>
</file>

<file path=xl/sharedStrings.xml><?xml version="1.0" encoding="utf-8"?>
<sst xmlns="http://schemas.openxmlformats.org/spreadsheetml/2006/main" count="1557" uniqueCount="733">
  <si>
    <t>Total</t>
  </si>
  <si>
    <t>Norte</t>
  </si>
  <si>
    <t xml:space="preserve"> </t>
  </si>
  <si>
    <t>Este</t>
  </si>
  <si>
    <t>Oeste</t>
  </si>
  <si>
    <t>Sur</t>
  </si>
  <si>
    <t>Techos</t>
  </si>
  <si>
    <t>Componente</t>
  </si>
  <si>
    <t>Area (A)</t>
  </si>
  <si>
    <t>Conductancia (K)</t>
  </si>
  <si>
    <t>(A).(K)</t>
  </si>
  <si>
    <t>%</t>
  </si>
  <si>
    <t>Observaciones</t>
  </si>
  <si>
    <t>Fundaciones</t>
  </si>
  <si>
    <t>Infiltracion</t>
  </si>
  <si>
    <t>CNP</t>
  </si>
  <si>
    <t>´(A).(K)</t>
  </si>
  <si>
    <t>Vent. norte</t>
  </si>
  <si>
    <t>Vent. este y oeste</t>
  </si>
  <si>
    <t>CGP</t>
  </si>
  <si>
    <t xml:space="preserve">RCC = </t>
  </si>
  <si>
    <t>QAA:</t>
  </si>
  <si>
    <t>Ventanas</t>
  </si>
  <si>
    <t>Tipo1</t>
  </si>
  <si>
    <t>Tipo 2</t>
  </si>
  <si>
    <t>Volumen</t>
  </si>
  <si>
    <t>m3</t>
  </si>
  <si>
    <t>m²</t>
  </si>
  <si>
    <t>Pisos</t>
  </si>
  <si>
    <t>Cómputo de superficies y volumenes</t>
  </si>
  <si>
    <t>Descripcion</t>
  </si>
  <si>
    <t>Resist.Total</t>
  </si>
  <si>
    <t>Aislantes térmicos</t>
  </si>
  <si>
    <t>espesor 2.5 cm</t>
  </si>
  <si>
    <t>espesor 5 cm</t>
  </si>
  <si>
    <t>espesor 7.5 cm</t>
  </si>
  <si>
    <t>espesor 10 cm</t>
  </si>
  <si>
    <t>sin aislación</t>
  </si>
  <si>
    <t>El aislante podrá ir incorporado al techo</t>
  </si>
  <si>
    <t>al muro o a la fundación</t>
  </si>
  <si>
    <t>sin aislación con camara de aire</t>
  </si>
  <si>
    <t>espesor 1 cm</t>
  </si>
  <si>
    <t>tipo expandido</t>
  </si>
  <si>
    <t>Tipo rígido</t>
  </si>
  <si>
    <t xml:space="preserve"> - Lana de vidrio o telgopor</t>
  </si>
  <si>
    <t>15 kg/m3</t>
  </si>
  <si>
    <t xml:space="preserve"> - Poliuretano expandido o rígido 30 kg/m3</t>
  </si>
  <si>
    <t>Planchas de corcho - 300 kg/m3</t>
  </si>
  <si>
    <t>espesor 2 mm</t>
  </si>
  <si>
    <t>Cemento + perlita expandida 700 kg/m3</t>
  </si>
  <si>
    <t>espesor 3 mm</t>
  </si>
  <si>
    <t>espesor 5 mm</t>
  </si>
  <si>
    <t>espesor 15 cm</t>
  </si>
  <si>
    <t>Maderas</t>
  </si>
  <si>
    <t>espesor 1/2 "</t>
  </si>
  <si>
    <t>espesor 3/4 "</t>
  </si>
  <si>
    <t>espesor 1"</t>
  </si>
  <si>
    <t>espesor 2"</t>
  </si>
  <si>
    <t>Madera de roble</t>
  </si>
  <si>
    <t>Para madera de pino (700 kg/m3) multiplicar valores anteriores por 0.2/0.15</t>
  </si>
  <si>
    <t>Para madera de álamo (500 kg/m3) multiplicar valores anteriores por 0.2/0.12</t>
  </si>
  <si>
    <t>Para madera de ábedul (600 kg/m3) multiplicar valores anteriores por 0.2/0.125</t>
  </si>
  <si>
    <t>Para parquet utilizar valores para maderass de roble</t>
  </si>
  <si>
    <t>revocado ambas caras</t>
  </si>
  <si>
    <t>ladrillo visto ambas caras s/camara de aire</t>
  </si>
  <si>
    <t>ladrillo visto ambas caras c/camara de aire</t>
  </si>
  <si>
    <t>otra cara bolseado</t>
  </si>
  <si>
    <t>otra cara visto</t>
  </si>
  <si>
    <t>Normal H° ciclópeo</t>
  </si>
  <si>
    <t>Muro 1</t>
  </si>
  <si>
    <t>Muro 2</t>
  </si>
  <si>
    <t>Techo 1</t>
  </si>
  <si>
    <t>Techo 2</t>
  </si>
  <si>
    <t>Ventanas sur tipo 1</t>
  </si>
  <si>
    <t>Perímetro expuesto</t>
  </si>
  <si>
    <t>Kcal/hr</t>
  </si>
  <si>
    <t>FAS</t>
  </si>
  <si>
    <t>Porcentaje</t>
  </si>
  <si>
    <t>Total superficie de envolvente</t>
  </si>
  <si>
    <t>Subtotal - sup. Verticales</t>
  </si>
  <si>
    <t>Únicamente auxiliar - cálculo de superficie y volumen de techos inclinados:</t>
  </si>
  <si>
    <t>1- Calculo del CNP - Coeficiente Neto de Pérdidas</t>
  </si>
  <si>
    <t>Conductancia</t>
  </si>
  <si>
    <t xml:space="preserve"> (K)</t>
  </si>
  <si>
    <t>Localidad:</t>
  </si>
  <si>
    <t>GD1VR0</t>
  </si>
  <si>
    <t>Localidad</t>
  </si>
  <si>
    <t>Grados-día</t>
  </si>
  <si>
    <t>[°C.día/año]</t>
  </si>
  <si>
    <t>Puertas</t>
  </si>
  <si>
    <t>FACTOR DE AREA ENVOLVENTE / PISO</t>
  </si>
  <si>
    <t>Tipo 1</t>
  </si>
  <si>
    <t xml:space="preserve">        Muros</t>
  </si>
  <si>
    <t>Subtotal - FAEP Muros</t>
  </si>
  <si>
    <t>FAEP Techos</t>
  </si>
  <si>
    <t>FAEP para la vivienda</t>
  </si>
  <si>
    <t>Grados-día:</t>
  </si>
  <si>
    <t xml:space="preserve">  Temp. Min. Diseño:</t>
  </si>
  <si>
    <t>°C</t>
  </si>
  <si>
    <t>Rendimiento del artefacto de calefacción:</t>
  </si>
  <si>
    <t>Kwh/año</t>
  </si>
  <si>
    <t>Superficie proyectada horizontal:</t>
  </si>
  <si>
    <t>Superficie del techo:</t>
  </si>
  <si>
    <t>Superficie del muro lateral:</t>
  </si>
  <si>
    <t>Volumen:</t>
  </si>
  <si>
    <t xml:space="preserve">4- Calor Auxiliar Anual </t>
  </si>
  <si>
    <t>5- Calculo del Coeficiente Global de Pérdidas (G)</t>
  </si>
  <si>
    <t>6- Potencia de calefacción necesaria (para dimensionar estufas, radiadores, etc.)</t>
  </si>
  <si>
    <t>Superficie</t>
  </si>
  <si>
    <t>GD2VR0</t>
  </si>
  <si>
    <t>GD1VAN</t>
  </si>
  <si>
    <t>GD2VAN</t>
  </si>
  <si>
    <t>MTH 1V AN</t>
  </si>
  <si>
    <t>MTH 2V AN</t>
  </si>
  <si>
    <t>MTAd 2V</t>
  </si>
  <si>
    <t>MA 1V</t>
  </si>
  <si>
    <t>MA 2V</t>
  </si>
  <si>
    <t>MA 1V AN</t>
  </si>
  <si>
    <t>MA 2V AN</t>
  </si>
  <si>
    <t>IA MM 9/3</t>
  </si>
  <si>
    <t>IA MA 9/3</t>
  </si>
  <si>
    <t>m.lineales</t>
  </si>
  <si>
    <r>
      <t>m</t>
    </r>
    <r>
      <rPr>
        <vertAlign val="superscript"/>
        <sz val="10"/>
        <rFont val="Arial"/>
        <family val="2"/>
      </rPr>
      <t>3</t>
    </r>
  </si>
  <si>
    <t>térmica</t>
  </si>
  <si>
    <t>MTH 1V</t>
  </si>
  <si>
    <t>MTH 2V</t>
  </si>
  <si>
    <t>MTL 2V</t>
  </si>
  <si>
    <t>II MM 9/3 AN</t>
  </si>
  <si>
    <t>II MM 9  AN</t>
  </si>
  <si>
    <t>Valores para distinto material del marco y configuraciones de vidriado</t>
  </si>
  <si>
    <t>Material del marco</t>
  </si>
  <si>
    <t>% de área ocupada</t>
  </si>
  <si>
    <t>por el marco</t>
  </si>
  <si>
    <t>Aluminio</t>
  </si>
  <si>
    <t>Chapa de acero plegada</t>
  </si>
  <si>
    <t>Individual</t>
  </si>
  <si>
    <t>Resultante</t>
  </si>
  <si>
    <t>Ganancia</t>
  </si>
  <si>
    <t>Directa</t>
  </si>
  <si>
    <t>[m²]</t>
  </si>
  <si>
    <t>Muros</t>
  </si>
  <si>
    <t>Acumulad.</t>
  </si>
  <si>
    <t>Invernaderos</t>
  </si>
  <si>
    <t xml:space="preserve">Sólo colocar superficie del sistema </t>
  </si>
  <si>
    <t>elegido en la columna de superficie</t>
  </si>
  <si>
    <t xml:space="preserve">Fracción de Ahorro Solar resultante del edificio: </t>
  </si>
  <si>
    <t>(significa que este % será el ahorrado por año).</t>
  </si>
  <si>
    <t xml:space="preserve"> con 2.5 cm de pol.expandido</t>
  </si>
  <si>
    <t xml:space="preserve"> con 5 cm de pol.expandido</t>
  </si>
  <si>
    <t xml:space="preserve"> con 7.5 cm de pol.expandido</t>
  </si>
  <si>
    <t xml:space="preserve"> con 10 cm de pol.expandido</t>
  </si>
  <si>
    <t>Ladrillo 0.12 rev.ambas caras s/aislación térmica</t>
  </si>
  <si>
    <t>Muro doble ladrillo 0.12 m s/aislación térmica</t>
  </si>
  <si>
    <t>Ladrillon rev. ambas caras s/aislación térmica</t>
  </si>
  <si>
    <t>Losa de losetas 12 cm s/aislación térmica</t>
  </si>
  <si>
    <t>Ladrillon revocado una cara s/aislación térmica</t>
  </si>
  <si>
    <t>Ladrillo 0.12 rev.una cara s/aislación térmica</t>
  </si>
  <si>
    <t>Muros - Descripción</t>
  </si>
  <si>
    <t xml:space="preserve">Resistencia </t>
  </si>
  <si>
    <t xml:space="preserve"> "                "         con 2.5 cm de pol.expandido</t>
  </si>
  <si>
    <t>CUADRO DE DATOS</t>
  </si>
  <si>
    <t>Mes</t>
  </si>
  <si>
    <t>GDM18</t>
  </si>
  <si>
    <t>Rad/GD</t>
  </si>
  <si>
    <t>en Mj/m².°C</t>
  </si>
  <si>
    <t>MT180 1V</t>
  </si>
  <si>
    <t>GD1801V</t>
  </si>
  <si>
    <t>MT1802V</t>
  </si>
  <si>
    <t>GD1802V</t>
  </si>
  <si>
    <t>Valores en BTU/ft².°F</t>
  </si>
  <si>
    <t>LCR</t>
  </si>
  <si>
    <t>Calculo de la FAS mensual</t>
  </si>
  <si>
    <t>C</t>
  </si>
  <si>
    <t>D</t>
  </si>
  <si>
    <t>H</t>
  </si>
  <si>
    <t>LCRS</t>
  </si>
  <si>
    <t>AI</t>
  </si>
  <si>
    <t>R0</t>
  </si>
  <si>
    <t>MA 2VAN</t>
  </si>
  <si>
    <t>II MM 9 AN</t>
  </si>
  <si>
    <t>m² por cada m² de piso</t>
  </si>
  <si>
    <t>Area</t>
  </si>
  <si>
    <t>a</t>
  </si>
  <si>
    <t>Orientación</t>
  </si>
  <si>
    <t>c</t>
  </si>
  <si>
    <t>3- Ganancia de calor por infiltración</t>
  </si>
  <si>
    <t>Techo</t>
  </si>
  <si>
    <t>Horas</t>
  </si>
  <si>
    <t>SE</t>
  </si>
  <si>
    <t>E</t>
  </si>
  <si>
    <t>NE</t>
  </si>
  <si>
    <t>N</t>
  </si>
  <si>
    <t>NO</t>
  </si>
  <si>
    <t>O</t>
  </si>
  <si>
    <t>SO</t>
  </si>
  <si>
    <t>S</t>
  </si>
  <si>
    <t>1- Carge Térmica por Muros y Techos</t>
  </si>
  <si>
    <t>2 Ganancia por ventanas</t>
  </si>
  <si>
    <t>Volumen del espacio:</t>
  </si>
  <si>
    <t>4- Ganancias internas:</t>
  </si>
  <si>
    <t>Valores en W/m²</t>
  </si>
  <si>
    <t>W/kcal/hr</t>
  </si>
  <si>
    <t>2-2 Energía gananda por ventanas - por conducción</t>
  </si>
  <si>
    <t>T.Ext.</t>
  </si>
  <si>
    <t>Factor</t>
  </si>
  <si>
    <t>Tmax.:</t>
  </si>
  <si>
    <t>Tmin.:</t>
  </si>
  <si>
    <t>1.0 Temperatura Exterior del aire horarias</t>
  </si>
  <si>
    <t>Temp. Exterior</t>
  </si>
  <si>
    <t>RAH</t>
  </si>
  <si>
    <t>Densidad relativa del aire:</t>
  </si>
  <si>
    <t>CONSUMOS TOTALES DE ENERGIA</t>
  </si>
  <si>
    <t>Ocup.</t>
  </si>
  <si>
    <t>Ilumin.</t>
  </si>
  <si>
    <t>Equip.</t>
  </si>
  <si>
    <t>Infiltr.</t>
  </si>
  <si>
    <t xml:space="preserve">2-3 Energía gananda por ventanas - por radiación solar </t>
  </si>
  <si>
    <t xml:space="preserve">Temperatura interior: </t>
  </si>
  <si>
    <t>Energía ganada por infiltración y ventilación</t>
  </si>
  <si>
    <t>Infiltración</t>
  </si>
  <si>
    <t>Ventilac.</t>
  </si>
  <si>
    <t>Energia en ventanas</t>
  </si>
  <si>
    <t>[Wh]</t>
  </si>
  <si>
    <t>Calculo del equipo acondicionador necesario</t>
  </si>
  <si>
    <t>Energía máxima necesaria:</t>
  </si>
  <si>
    <t>frig./hora</t>
  </si>
  <si>
    <t>Ton.refrig.</t>
  </si>
  <si>
    <t>2- Intercambio necesario [RAH]</t>
  </si>
  <si>
    <t>b</t>
  </si>
  <si>
    <t>d</t>
  </si>
  <si>
    <t>9- Coeficiente de presión diferencial</t>
  </si>
  <si>
    <t>(Diferencia entre fachadas)</t>
  </si>
  <si>
    <t>Relación</t>
  </si>
  <si>
    <t>Factor de corrección 1° piso</t>
  </si>
  <si>
    <t>Factor de corrrección 2°piso</t>
  </si>
  <si>
    <t>11- Coeficiente de presión diferencial corregido</t>
  </si>
  <si>
    <t>Para el 1° Piso</t>
  </si>
  <si>
    <t>Para el 2° Piso</t>
  </si>
  <si>
    <t>12. Elija el Factor de terreno:</t>
  </si>
  <si>
    <t>Frente al océano o mas de 5 km frente al agua</t>
  </si>
  <si>
    <t>Zona plana y edificios aislados</t>
  </si>
  <si>
    <t>Zona de barrios</t>
  </si>
  <si>
    <t>Urbana o industrial</t>
  </si>
  <si>
    <t>Centro de una ciudad</t>
  </si>
  <si>
    <t>Factor?</t>
  </si>
  <si>
    <t>13- Velocidad de viento revisada:</t>
  </si>
  <si>
    <t>14- Cálculo del área efectiva requerida, A:</t>
  </si>
  <si>
    <t>Para el primer piso:</t>
  </si>
  <si>
    <t>17- Si utiliza mosquitero divida las áreas por el factor de porosidad</t>
  </si>
  <si>
    <t>Factor de porosidad:</t>
  </si>
  <si>
    <t>Sin mosquitero</t>
  </si>
  <si>
    <t>Mosquitero metálico</t>
  </si>
  <si>
    <t>Mosquitero plástico</t>
  </si>
  <si>
    <t>19- Será necesario agregar más superficie en baños o cocinas para</t>
  </si>
  <si>
    <t>enfatizar la ventilación de estas áreas.</t>
  </si>
  <si>
    <t>m/hr</t>
  </si>
  <si>
    <t>Heladera</t>
  </si>
  <si>
    <t>1-1 Diferencia de Temperaturas - Latitud: 35° - K=1.6 W/m².°C</t>
  </si>
  <si>
    <t>Lugar:</t>
  </si>
  <si>
    <t>DATOS CLIMATICOS Y DE RADIACIÓN SOLAR/GRADOS DÍA DE CALEFACCIÓN TB = 18°c</t>
  </si>
  <si>
    <t>Temperaturas y datos de viento para balance de verano</t>
  </si>
  <si>
    <t>TMAA</t>
  </si>
  <si>
    <t>TMAM</t>
  </si>
  <si>
    <t>TM</t>
  </si>
  <si>
    <t>TMIM</t>
  </si>
  <si>
    <t>HGCC</t>
  </si>
  <si>
    <t>VelV</t>
  </si>
  <si>
    <t>TMAD</t>
  </si>
  <si>
    <t>TMID</t>
  </si>
  <si>
    <t>Balance Térmico Invierno-Verano para Edificios Sustentables</t>
  </si>
  <si>
    <t>Indique la localidad</t>
  </si>
  <si>
    <t>Numero de ocupantes (Noc.)</t>
  </si>
  <si>
    <t>Potencia [W]</t>
  </si>
  <si>
    <t>Energía [Wh]</t>
  </si>
  <si>
    <t>Total [Wh]</t>
  </si>
  <si>
    <t>Energía</t>
  </si>
  <si>
    <t>Radiación</t>
  </si>
  <si>
    <t>Conducción</t>
  </si>
  <si>
    <t>Ganancias por la envolvente</t>
  </si>
  <si>
    <t xml:space="preserve">              Ganancias internas</t>
  </si>
  <si>
    <t>Potencia [frigorías/hora]</t>
  </si>
  <si>
    <t>Potencia [toneladas de refrigeración]</t>
  </si>
  <si>
    <t>Hora</t>
  </si>
  <si>
    <t>Carga Enf.</t>
  </si>
  <si>
    <t>[°C]</t>
  </si>
  <si>
    <t xml:space="preserve">                   Agua </t>
  </si>
  <si>
    <t xml:space="preserve">        Mampostería</t>
  </si>
  <si>
    <t>[kg]</t>
  </si>
  <si>
    <t>[m²/m²</t>
  </si>
  <si>
    <t xml:space="preserve">Cantidad necesaria de masa térmica: </t>
  </si>
  <si>
    <t>Mampostería:</t>
  </si>
  <si>
    <t>ó</t>
  </si>
  <si>
    <t>kg</t>
  </si>
  <si>
    <t>Agua:</t>
  </si>
  <si>
    <t>Para el siguiente material:</t>
  </si>
  <si>
    <t>Densidad</t>
  </si>
  <si>
    <t>Espesor</t>
  </si>
  <si>
    <t>Sup. Necesaria</t>
  </si>
  <si>
    <t>Hormigón armado:</t>
  </si>
  <si>
    <t>Ladrillo:</t>
  </si>
  <si>
    <t>Ladrillón:</t>
  </si>
  <si>
    <t>Piedra:</t>
  </si>
  <si>
    <t>Adobe:</t>
  </si>
  <si>
    <t xml:space="preserve">Para water wall: </t>
  </si>
  <si>
    <t>Wh/m².°C</t>
  </si>
  <si>
    <t>Concreto</t>
  </si>
  <si>
    <t>Piedra</t>
  </si>
  <si>
    <t>Ladrillo</t>
  </si>
  <si>
    <t xml:space="preserve">Madera </t>
  </si>
  <si>
    <t>Adobe</t>
  </si>
  <si>
    <t>Admitancia asol.</t>
  </si>
  <si>
    <t>Arena</t>
  </si>
  <si>
    <t>[W/m².°C]</t>
  </si>
  <si>
    <t xml:space="preserve">              Admitancia térmica de materiales de acumulación </t>
  </si>
  <si>
    <t>W/m².°C</t>
  </si>
  <si>
    <t>2- Fracción de Ahorro Solar (FAS)</t>
  </si>
  <si>
    <t>3- Relación Carga Térmica/Colector</t>
  </si>
  <si>
    <t>[W/°C]</t>
  </si>
  <si>
    <t>1°Piso</t>
  </si>
  <si>
    <t>2°Piso</t>
  </si>
  <si>
    <t>Estas son superficies netas de ventilación, luego tener en cuenta las posibilidades</t>
  </si>
  <si>
    <t>de cada tipo de ventana y la obturación por el marco.</t>
  </si>
  <si>
    <t>Gas envasado [kg]:</t>
  </si>
  <si>
    <t>Gas natural [m3]</t>
  </si>
  <si>
    <t>Kerosene [lts]:</t>
  </si>
  <si>
    <t>Leña [kg]:</t>
  </si>
  <si>
    <t xml:space="preserve">Precio  </t>
  </si>
  <si>
    <t>Unitario</t>
  </si>
  <si>
    <t>Calefacción</t>
  </si>
  <si>
    <t>Costo</t>
  </si>
  <si>
    <t>Coeficientes peliculares:</t>
  </si>
  <si>
    <t>Para aire quieto</t>
  </si>
  <si>
    <t>para velocidad del lugar</t>
  </si>
  <si>
    <t>Calculo de resistencia térmica:</t>
  </si>
  <si>
    <t>m².°C/W</t>
  </si>
  <si>
    <t>Ladrillón</t>
  </si>
  <si>
    <t>Viento</t>
  </si>
  <si>
    <t>[km/hr]</t>
  </si>
  <si>
    <t>Capa 4</t>
  </si>
  <si>
    <t>Aislación térmica</t>
  </si>
  <si>
    <t>Conductividad</t>
  </si>
  <si>
    <t>[m]</t>
  </si>
  <si>
    <t>Térmica [W/mK]</t>
  </si>
  <si>
    <t>ENFRIAMIENTO CONVECTIVO NOCTURNO</t>
  </si>
  <si>
    <t>CALOR DIARIO A EXTRAER:</t>
  </si>
  <si>
    <t>Obtención de las Renovaciones de Aire por hora</t>
  </si>
  <si>
    <t>En horas de calor ganado, es decir, positivo,</t>
  </si>
  <si>
    <t>Durmiendo</t>
  </si>
  <si>
    <t xml:space="preserve">Espesor </t>
  </si>
  <si>
    <t>óptimo</t>
  </si>
  <si>
    <t>Nota: sólo se debe operar con las celdas grisadas</t>
  </si>
  <si>
    <t>Noreste</t>
  </si>
  <si>
    <t>Sureste</t>
  </si>
  <si>
    <t>Suroeste</t>
  </si>
  <si>
    <t>Noroeste</t>
  </si>
  <si>
    <t>FAEP</t>
  </si>
  <si>
    <t>m²/m²</t>
  </si>
  <si>
    <t>FF:</t>
  </si>
  <si>
    <r>
      <t>m</t>
    </r>
    <r>
      <rPr>
        <vertAlign val="superscript"/>
        <sz val="10"/>
        <rFont val="Arial"/>
        <family val="2"/>
      </rPr>
      <t>-1</t>
    </r>
  </si>
  <si>
    <t xml:space="preserve">      del total</t>
  </si>
  <si>
    <t>Hoja de cálculo para obtener conductancias de muros y techos:</t>
  </si>
  <si>
    <t>Elemento y material</t>
  </si>
  <si>
    <r>
      <t>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.°C]</t>
    </r>
  </si>
  <si>
    <t>Lugar y velocidad de viento en Km/hr:</t>
  </si>
  <si>
    <t>km/h</t>
  </si>
  <si>
    <t>Velocidad de viento en metros/segundo</t>
  </si>
  <si>
    <t>m/s</t>
  </si>
  <si>
    <t>Resistencia</t>
  </si>
  <si>
    <t>Valor resultante de conductancia térmica</t>
  </si>
  <si>
    <t>Ver tecnología de incorporación del aislamiento térmico</t>
  </si>
  <si>
    <t xml:space="preserve">                                        "</t>
  </si>
  <si>
    <t>ladrillo visto ambas caras con cámara rellena con poliestireno expandido</t>
  </si>
  <si>
    <t>Con la aislación térmica protegida con revoque de concreto</t>
  </si>
  <si>
    <t>Una cara visto y otra con poliestireno expandido y revoque de concreto</t>
  </si>
  <si>
    <t>Ladrillon revocado una cara y la otra con piedra s/aislación térmica</t>
  </si>
  <si>
    <t>Espesor de la piedra 2 cm</t>
  </si>
  <si>
    <t>Con la aislación térmica protegida con revoque de concreto y piedra</t>
  </si>
  <si>
    <t>PVC ó Madera</t>
  </si>
  <si>
    <t>PVC ó Madera con cortina interior</t>
  </si>
  <si>
    <t>PVC ó Madera con cortina exterior</t>
  </si>
  <si>
    <t>PVC ó Madera con cortina interior y exterior</t>
  </si>
  <si>
    <t>Aluminio con cortina interior</t>
  </si>
  <si>
    <t>Aluminio con cortina exterior</t>
  </si>
  <si>
    <t>Aluminio con cortina interior y exterior</t>
  </si>
  <si>
    <t>Chapa plegada con cortina interior</t>
  </si>
  <si>
    <t>Chapa plegada con cortina exterior</t>
  </si>
  <si>
    <t>Chapa plegada con cortina interior y exterior</t>
  </si>
  <si>
    <t>Con 5 cm de hormigón alivianado</t>
  </si>
  <si>
    <t>Con 10 cm de hormigón alivianado</t>
  </si>
  <si>
    <t>TABLA DE AISLANTES TERMICOS</t>
  </si>
  <si>
    <t xml:space="preserve">Conductancia térmica de elementos: identifique el elemento y obtenga el valor de conductancia para </t>
  </si>
  <si>
    <t>colocar en la planilla de Balance de calefacción</t>
  </si>
  <si>
    <t>Nivel de actividad  (N.A.) (en mets) (ver tabla contigua)</t>
  </si>
  <si>
    <t>Muros 1</t>
  </si>
  <si>
    <t>Muros 2</t>
  </si>
  <si>
    <t>Techos 1</t>
  </si>
  <si>
    <t>Techos 2</t>
  </si>
  <si>
    <t>W</t>
  </si>
  <si>
    <t>RAH nocturnas</t>
  </si>
  <si>
    <r>
      <rPr>
        <b/>
        <sz val="10"/>
        <rFont val="Arial"/>
        <family val="2"/>
      </rPr>
      <t>Factor de Area Envolvente/Piso:</t>
    </r>
    <r>
      <rPr>
        <sz val="10"/>
        <rFont val="Arial"/>
        <family val="2"/>
      </rPr>
      <t xml:space="preserve"> ideal entre 1 y 2</t>
    </r>
  </si>
  <si>
    <t>Nota: Si hay un techo a dos aguas, se debe considerar cada lado por separado</t>
  </si>
  <si>
    <t>Longitud del techo "L":</t>
  </si>
  <si>
    <t>Altura mayor "H":</t>
  </si>
  <si>
    <t>Altura menor "h":</t>
  </si>
  <si>
    <t>Distancia entre ellas "d":</t>
  </si>
  <si>
    <r>
      <t>W/m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.°C</t>
    </r>
  </si>
  <si>
    <t>Potencia necesaria:</t>
  </si>
  <si>
    <t>Térmica</t>
  </si>
  <si>
    <t>Conductancias térmica de ventanas [W/m2.°C]</t>
  </si>
  <si>
    <t>Losa maciza 10 cm sin aislación térmica</t>
  </si>
  <si>
    <t>Chapa ext.-cieloraso susp. sin aislación térmica</t>
  </si>
  <si>
    <t>Chapa ext.-machimbre int. sin aislación térmica</t>
  </si>
  <si>
    <t>1 solo vidrio</t>
  </si>
  <si>
    <t>Doble Vidriado</t>
  </si>
  <si>
    <t>Hermético (DVH)</t>
  </si>
  <si>
    <t>Puertas opacas o hasta 10% de superficie vidriada</t>
  </si>
  <si>
    <t>CONDUCTANCIA DE VENTANAS Y/O PUERTAS VENTANA</t>
  </si>
  <si>
    <t>De madera maciza con tableros</t>
  </si>
  <si>
    <t>De chapa hueca</t>
  </si>
  <si>
    <t>De chapa hueca rellena con poliuretano</t>
  </si>
  <si>
    <t>(4 mm)</t>
  </si>
  <si>
    <t>(3+12+3)</t>
  </si>
  <si>
    <t xml:space="preserve"> 40 cm ancho x 70 cm profundidad</t>
  </si>
  <si>
    <t>Admitancia térmica a través del aire:</t>
  </si>
  <si>
    <t>Superficie de masa térmica a incluir:</t>
  </si>
  <si>
    <t>Temp. Interior</t>
  </si>
  <si>
    <t>deseada</t>
  </si>
  <si>
    <t>Factor "G" - Norma IRAM 11604 (=CGP/Volumen)</t>
  </si>
  <si>
    <t>Latitud</t>
  </si>
  <si>
    <t>Altura s.n.m.</t>
  </si>
  <si>
    <t>[°]</t>
  </si>
  <si>
    <t>m.s.n.m.</t>
  </si>
  <si>
    <t>Altitud:</t>
  </si>
  <si>
    <t>para el día de diseño, es decir, con temperatura exterior de:</t>
  </si>
  <si>
    <t>Es la potencia necesaria para alcanzar y mantener constante 21°C interior (sumado las ganancias internas</t>
  </si>
  <si>
    <t>Con 2,5 cm de placa rígida de poliuretano expandido</t>
  </si>
  <si>
    <t xml:space="preserve">Material del muro o de la capa en caso de </t>
  </si>
  <si>
    <t>tener varias</t>
  </si>
  <si>
    <t>Revoque de hormigón</t>
  </si>
  <si>
    <t>hi [W/m².°C] -  coeficiente pelicular interior</t>
  </si>
  <si>
    <t>he [W/m².°C] - coeficiente pelicular exterior</t>
  </si>
  <si>
    <t>Capa 5</t>
  </si>
  <si>
    <t>Capa 6</t>
  </si>
  <si>
    <t>Capa 7</t>
  </si>
  <si>
    <t>Indique material, espesor y conductividad térmica del muro</t>
  </si>
  <si>
    <t>Indique material, espesor y conductividad térmica del techo</t>
  </si>
  <si>
    <t>Losa maciza</t>
  </si>
  <si>
    <t>Membrana de caucho con aluminio</t>
  </si>
  <si>
    <t>Relleno alivianado con perlitas de poliestireno expandido (esp. Medio)</t>
  </si>
  <si>
    <t xml:space="preserve">Energía diaria gananda por ocupantes: </t>
  </si>
  <si>
    <t>[Wh/día]</t>
  </si>
  <si>
    <t>4.1 Energia ganada por presencia de personas</t>
  </si>
  <si>
    <t>Energía diaria gananda por iluminación artificial:</t>
  </si>
  <si>
    <t>Tipo 1 para un tipo de lámpara</t>
  </si>
  <si>
    <t>Tipo 2 para otro tipo de lámpara</t>
  </si>
  <si>
    <t>Si hubiera varias lámparas o focos</t>
  </si>
  <si>
    <t>de distinta potencia, calcular un</t>
  </si>
  <si>
    <t>valor medio y ponerlo en potencia</t>
  </si>
  <si>
    <t>Luego colocar la cantidad que están</t>
  </si>
  <si>
    <t>encendidos en cada hora.</t>
  </si>
  <si>
    <t>Indice por tipo de protección: colocar el valor consultando la tabla adjunta en función del tipo de protección de la ventana</t>
  </si>
  <si>
    <t>Consultar el valor de potencia de cada artefacto en la tabla adjunta. Son valores medios pero pueden variar de acuerdo a su categoría</t>
  </si>
  <si>
    <t>Cocina a gas</t>
  </si>
  <si>
    <t>Energía diaria gananda por el uso de equipamiento:</t>
  </si>
  <si>
    <t>Energía total</t>
  </si>
  <si>
    <t>nocturnas necesarias para enfriar el edificio.</t>
  </si>
  <si>
    <t>o subtropical con humedad relativa alta.</t>
  </si>
  <si>
    <t>Nota: Esto no es aplicable a zonas de clima tropical</t>
  </si>
  <si>
    <t>Distancia con edificios adyacentes [m]</t>
  </si>
  <si>
    <t>Altura del edificio adyacente [m]</t>
  </si>
  <si>
    <t>m</t>
  </si>
  <si>
    <t>Para ventilación durante:</t>
  </si>
  <si>
    <t xml:space="preserve">Dirección </t>
  </si>
  <si>
    <t>Predominante de viento</t>
  </si>
  <si>
    <r>
      <t xml:space="preserve">   Lado "</t>
    </r>
    <r>
      <rPr>
        <b/>
        <sz val="10"/>
        <rFont val="Arial"/>
        <family val="2"/>
      </rPr>
      <t>a"</t>
    </r>
    <r>
      <rPr>
        <sz val="10"/>
        <rFont val="Arial"/>
        <family val="2"/>
      </rPr>
      <t xml:space="preserve"> sería:</t>
    </r>
  </si>
  <si>
    <t>7- Angulo de Incidencia de la fachada contra el viento[°]</t>
  </si>
  <si>
    <t>Fachadas opuestas:</t>
  </si>
  <si>
    <t>a - c=</t>
  </si>
  <si>
    <t>a - b=</t>
  </si>
  <si>
    <t>a - d=</t>
  </si>
  <si>
    <t>a - techo=</t>
  </si>
  <si>
    <t>Entre fachada a y techo</t>
  </si>
  <si>
    <t>Entre fachada a y b</t>
  </si>
  <si>
    <t>Entre fachada a y d</t>
  </si>
  <si>
    <t xml:space="preserve">          Sobre fachada</t>
  </si>
  <si>
    <t>8- Coeficiente de presión (mirando el esquema de más abajo)</t>
  </si>
  <si>
    <t xml:space="preserve">          Sobre el techo</t>
  </si>
  <si>
    <t xml:space="preserve">    el viento entra por a y sale por c</t>
  </si>
  <si>
    <t xml:space="preserve">    el viento entra por a y sale por b</t>
  </si>
  <si>
    <t xml:space="preserve">    el viento entra por a y sale por d</t>
  </si>
  <si>
    <t xml:space="preserve">    el viento entra por a y sale por techo</t>
  </si>
  <si>
    <t>ubicación de las ventanas de entrada y salida del viento.</t>
  </si>
  <si>
    <t>Aquí coloque el coeficiente que corresponda de acuerdo a la</t>
  </si>
  <si>
    <t>10- Factor de corrección del coeficiente diferencial de presión</t>
  </si>
  <si>
    <t>las 24 h</t>
  </si>
  <si>
    <t>sólo de noche</t>
  </si>
  <si>
    <t>Cocinando</t>
  </si>
  <si>
    <t>Total diario:</t>
  </si>
  <si>
    <t>15- Area de ventana para el ingreso/salida de aire:</t>
  </si>
  <si>
    <t>Siempre resulta mejor utilizar superficies de salida mayores, digamos</t>
  </si>
  <si>
    <t xml:space="preserve">que hasta 5 veces mayor que la superficie de entrada, la ventilación </t>
  </si>
  <si>
    <t>aumenta. Sin embargo un valor razonable puede ser del orden de 2.</t>
  </si>
  <si>
    <t>16- Area de ventana para la salida del aire (sugeridas):</t>
  </si>
  <si>
    <t>% (Av/Sc)</t>
  </si>
  <si>
    <t xml:space="preserve">      Ingreso de aire</t>
  </si>
  <si>
    <t xml:space="preserve">          Salida aire</t>
  </si>
  <si>
    <t xml:space="preserve">               Total </t>
  </si>
  <si>
    <t>18- Valor de la superficie total dividido la sup. Cubierta (Sc)</t>
  </si>
  <si>
    <t>Tomando en cuenta el lado del viento</t>
  </si>
  <si>
    <t>Con estas aberturas aseguraríamos la ventilación suficiente como para enfriar el edificio en los</t>
  </si>
  <si>
    <t>días en que la velocidad de viento sea la media del mes.</t>
  </si>
  <si>
    <r>
      <t>m</t>
    </r>
    <r>
      <rPr>
        <vertAlign val="superscript"/>
        <sz val="10"/>
        <rFont val="Aparajita"/>
        <family val="2"/>
      </rPr>
      <t>3</t>
    </r>
  </si>
  <si>
    <t xml:space="preserve">1- Volumen del edificio, V </t>
  </si>
  <si>
    <t xml:space="preserve">3- Cantidad de aire requerido </t>
  </si>
  <si>
    <t>4- Ubicación:</t>
  </si>
  <si>
    <t>RAH - Renovación de Aire/Hora</t>
  </si>
  <si>
    <t>km/hr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</si>
  <si>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/hr</t>
    </r>
  </si>
  <si>
    <t>5- Velocidad de viento (media para enero):</t>
  </si>
  <si>
    <t>BALANCE TERMICO DE VERANO (Sólo operar las celdas grisadas)</t>
  </si>
  <si>
    <t xml:space="preserve">que sume al final del día (en el total) la misma </t>
  </si>
  <si>
    <t>Datos correspondientes a:</t>
  </si>
  <si>
    <t>El viento presiona de tal manera que:</t>
  </si>
  <si>
    <t xml:space="preserve">Cuando las ventanas se ubican </t>
  </si>
  <si>
    <t xml:space="preserve">El coeficiente diferencial de </t>
  </si>
  <si>
    <t xml:space="preserve">presión a adoptar será: </t>
  </si>
  <si>
    <t>entre las siguientes fachadas, donde:</t>
  </si>
  <si>
    <t>6- Dirección predominante:</t>
  </si>
  <si>
    <t>Total [Wh/día]</t>
  </si>
  <si>
    <r>
      <t>2-1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Ventanas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</si>
  <si>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r>
      <t>1.1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</si>
  <si>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1.1 Energía gananda por muros y techos</t>
  </si>
  <si>
    <r>
      <t>1.2 Area [m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] y conductancia térmica de Muros y Techos [W/m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 xml:space="preserve">.°C] </t>
    </r>
  </si>
  <si>
    <t>1.2 Energía gananda por muros y techos</t>
  </si>
  <si>
    <t>Ventilación Nocturna</t>
  </si>
  <si>
    <t>Calor extraído</t>
  </si>
  <si>
    <t>Temperatura interior:</t>
  </si>
  <si>
    <t>N° Ocupantes</t>
  </si>
  <si>
    <t>Nivel Activid.</t>
  </si>
  <si>
    <t xml:space="preserve">Tipo 1: </t>
  </si>
  <si>
    <t xml:space="preserve">Tipo 2: </t>
  </si>
  <si>
    <t>Fluorecente</t>
  </si>
  <si>
    <t>Fluorescente compacta</t>
  </si>
  <si>
    <t>c.l.e</t>
  </si>
  <si>
    <t>c.l.e.: cantidad de lámparas encendidas en esa hora</t>
  </si>
  <si>
    <t>h en que se usa</t>
  </si>
  <si>
    <t>Invierno</t>
  </si>
  <si>
    <t>Temp. Ext.</t>
  </si>
  <si>
    <t>Envolvente</t>
  </si>
  <si>
    <t>Ventilación</t>
  </si>
  <si>
    <t>Nocturna</t>
  </si>
  <si>
    <t xml:space="preserve">Total  </t>
  </si>
  <si>
    <t>Balance</t>
  </si>
  <si>
    <t>Ganancias</t>
  </si>
  <si>
    <t xml:space="preserve">Valores totales  </t>
  </si>
  <si>
    <t>Se deben colocar las RAH necesarias en celda grisada</t>
  </si>
  <si>
    <t xml:space="preserve">el programa colocará 0, para evitar que aumente la </t>
  </si>
  <si>
    <t xml:space="preserve">ganancia de calor en el edificio, dado que en esas horas </t>
  </si>
  <si>
    <t>Con este valor de RAH nocturnas se dimensionarán la ventanas para enfriamiento convectivo nocturno</t>
  </si>
  <si>
    <t xml:space="preserve">Colocar la superficie de masa térmica (usualmente la superficie de envolvente sola, si las </t>
  </si>
  <si>
    <t>Tipo 1:</t>
  </si>
  <si>
    <t xml:space="preserve">Para tener en cuenta el enfriamiento por masa térmica colocar en la celdas grisada superficie y admitancia térmica </t>
  </si>
  <si>
    <t xml:space="preserve">correspondiente al material de acumulación del interior del edificio. </t>
  </si>
  <si>
    <t>Admitancia térmica (*)</t>
  </si>
  <si>
    <t>(*) intercambio convectivo - Ver capítulo 4 libro</t>
  </si>
  <si>
    <t>particiones internas son livianas o todo si todo es macizo). También puede ser que se diseñe particiones interiores</t>
  </si>
  <si>
    <t xml:space="preserve">como masa térmica y la envolvente liviana, en este caso poner sólo superficie de particiones interiores. . </t>
  </si>
  <si>
    <t>El piso se considera con masa térmica si es un piso macizo y sin alformbras. El de madera se debe considerar como tal.</t>
  </si>
  <si>
    <t>El cálculo de la temperatura interior corresponde</t>
  </si>
  <si>
    <t>al día que se utilizó en el balance de enfriamiento</t>
  </si>
  <si>
    <t>por lo tanto, al día más crítico del mes de enero y</t>
  </si>
  <si>
    <t>tomando en cuenta las ganancias de calor indicadas</t>
  </si>
  <si>
    <t>en la columna de carga de enfriamiento, que incluye</t>
  </si>
  <si>
    <t>la ventilación nocturna.</t>
  </si>
  <si>
    <t>Se muestran los pasos para determinar el área necesaria de ventanas</t>
  </si>
  <si>
    <t xml:space="preserve"> (sólo modificar las celdas grisadas)</t>
  </si>
  <si>
    <t>Para el segundo piso y siguientes:</t>
  </si>
  <si>
    <t>Sólo operar celdas grisadas</t>
  </si>
  <si>
    <t>CALCULO DE SUPERFICIE DE VENTANAS PARA VENTILACION NATURAL NOCTURNA PARA ENFRIAMIENTO</t>
  </si>
  <si>
    <t>ENFRIAMIENTO POR PRESENCIA DE MASA TERMICA COMBINADA CON VENTILACIÓN NOCTURNA</t>
  </si>
  <si>
    <t>(se considera techo horizontal)</t>
  </si>
  <si>
    <t>(Se considera el techo horizontal)</t>
  </si>
  <si>
    <t>Concreto:</t>
  </si>
  <si>
    <t>Vent. Rad.</t>
  </si>
  <si>
    <t>Vent. Cond.</t>
  </si>
  <si>
    <t>Total Gan.x</t>
  </si>
  <si>
    <t>Total Gan.</t>
  </si>
  <si>
    <t>Internas</t>
  </si>
  <si>
    <t>Totales</t>
  </si>
  <si>
    <t>Temp. Int.(**)</t>
  </si>
  <si>
    <t>(**) Temperatura Interior de Arranque: se debe colocar un valor para comenzar el cálculo. Luego se debe</t>
  </si>
  <si>
    <t xml:space="preserve">chequear que se llegue al mismo valor o a un valor cercano a las 22h. Si la temperatura tiende a aumentar </t>
  </si>
  <si>
    <t>hacia la tarde es que haría falta más superficie de masa térmica. Si se tiende a igualar está bien. Si varía</t>
  </si>
  <si>
    <t>muy poco a lo largo del día (digamos 1 o 2°C) podemos disminuir la masa térmica, aunque es preferible que</t>
  </si>
  <si>
    <r>
      <rPr>
        <b/>
        <sz val="10"/>
        <rFont val="Arial"/>
        <family val="2"/>
      </rPr>
      <t>Factor de Forma</t>
    </r>
    <r>
      <rPr>
        <sz val="10"/>
        <rFont val="Arial"/>
        <family val="2"/>
      </rPr>
      <t xml:space="preserve">: ideal entre 0,6 y 1,2 </t>
    </r>
  </si>
  <si>
    <t>el aire estará a mayor temperatura que el edificio. Esto se</t>
  </si>
  <si>
    <t>materializa cerrando el edificio tratando de minimizar las</t>
  </si>
  <si>
    <t>ganancias de calor.</t>
  </si>
  <si>
    <t xml:space="preserve">cantidad o mayor que el calor diario a extraer (indicado arriba) </t>
  </si>
  <si>
    <t>pero con signo negativo.</t>
  </si>
  <si>
    <t>Necesaria</t>
  </si>
  <si>
    <t>Local</t>
  </si>
  <si>
    <t>Cocina</t>
  </si>
  <si>
    <t>Sanitarios</t>
  </si>
  <si>
    <t>Oficinas</t>
  </si>
  <si>
    <t>Espacios diurnos</t>
  </si>
  <si>
    <t>Restaurant</t>
  </si>
  <si>
    <t>Laboratorios</t>
  </si>
  <si>
    <t xml:space="preserve">CALCULO DE SUPERFICIE DE VENTANAS PARA VENTILACION NATURAL </t>
  </si>
  <si>
    <t>Cuando las temperaturas exteriores sean de confort o ligeramente más elevadas, se puede ventilar directamente los locales</t>
  </si>
  <si>
    <t>http://www.ms.gba.gov.ar/sitios/edup/ley-de-higiene-y-seguridad-en-el-trabajo/</t>
  </si>
  <si>
    <t>En la tabla siguiente se indican valores para espacios interiores mas comunes, en RAH:</t>
  </si>
  <si>
    <t>desde el exterior, generando ventilación de confort. En este caso el nivel de renovaciones se puede consultar en la Tabla o en la página:</t>
  </si>
  <si>
    <t>La altura se puede conocer multiplicando por 3 cada nivel, en este caso</t>
  </si>
  <si>
    <t>un edificio de PB y 1º piso.</t>
  </si>
  <si>
    <t>Tomando en cuenta el lado que viene el viento</t>
  </si>
  <si>
    <t>Es de destacar que siempre resulta mejor utilizar superficies de salida mayores, digamos</t>
  </si>
  <si>
    <t>NOTA: este valor no reemplaza al valor de ventilación necesaria indicada en el código de Edificación del Municipio correspondiente</t>
  </si>
  <si>
    <t xml:space="preserve"> donde se vaya a construir el edificio, por lo tanto, si esta área resulta menor, se adoptará la indicada por el Municipio.</t>
  </si>
  <si>
    <t>MTBl 1V</t>
  </si>
  <si>
    <t>MTBl 2V</t>
  </si>
  <si>
    <t>Localidades</t>
  </si>
  <si>
    <t>Longitud</t>
  </si>
  <si>
    <t>Altitud s.n.m.</t>
  </si>
  <si>
    <t>Archivo</t>
  </si>
  <si>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con ganancia directa o invernaderos, se debería incorporar 6 a 9 veces la superficie de </t>
    </r>
  </si>
  <si>
    <t>Bolivar, Buenos Aires</t>
  </si>
  <si>
    <t>Capital Federal</t>
  </si>
  <si>
    <t>Rosario, Santa Fé</t>
  </si>
  <si>
    <t>Laboulage, Córdoba</t>
  </si>
  <si>
    <t>Mar del Plata, Bs.As.</t>
  </si>
  <si>
    <t>Santa Rosa, La Pampa</t>
  </si>
  <si>
    <t>Ceres, Santa Fe</t>
  </si>
  <si>
    <t>Concordia, Entre Ríos</t>
  </si>
  <si>
    <t>Bolivar</t>
  </si>
  <si>
    <t>CABA</t>
  </si>
  <si>
    <t>Rosario</t>
  </si>
  <si>
    <t>Laboulage</t>
  </si>
  <si>
    <t>Mar del Plata</t>
  </si>
  <si>
    <t>Santa Rosa</t>
  </si>
  <si>
    <t>Ceres</t>
  </si>
  <si>
    <t>Concordia</t>
  </si>
  <si>
    <t>34,35º S</t>
  </si>
  <si>
    <t>25 msnm</t>
  </si>
  <si>
    <t>32,55º S</t>
  </si>
  <si>
    <t>34,08º S</t>
  </si>
  <si>
    <t>137 msnm</t>
  </si>
  <si>
    <t>37,56º S</t>
  </si>
  <si>
    <t>21 msnm</t>
  </si>
  <si>
    <t>36,44º S</t>
  </si>
  <si>
    <t>191 msnm</t>
  </si>
  <si>
    <t>29,53º S</t>
  </si>
  <si>
    <t>88 msnm</t>
  </si>
  <si>
    <t>31,18º S</t>
  </si>
  <si>
    <t>38 msnm</t>
  </si>
  <si>
    <t>57,35º O</t>
  </si>
  <si>
    <t>36,12º S</t>
  </si>
  <si>
    <t>61,04º O</t>
  </si>
  <si>
    <t>94 msnm</t>
  </si>
  <si>
    <t>58,01º O</t>
  </si>
  <si>
    <t>61,57º O</t>
  </si>
  <si>
    <t>64,16º O</t>
  </si>
  <si>
    <t>63,22º O</t>
  </si>
  <si>
    <t>60,47º O</t>
  </si>
  <si>
    <t>58,29º O</t>
  </si>
  <si>
    <t>ganancia directa como masa térmica. Ver libro "Arquitectura Bioclimática y Sustentable"- capítulo 3 y 6.</t>
  </si>
  <si>
    <t>ésta tenga más superficie que menos. Para otras consideraciones de masa térmica ver cap. 5 libro "Arquitectura</t>
  </si>
  <si>
    <t>Bioclimática y Sustentable".</t>
  </si>
  <si>
    <t xml:space="preserve">de cada tipo de ventana (ver capìtulo 5 del libro "Arquitectura Bioclimática y Sustentable"), </t>
  </si>
  <si>
    <t>y la obturación del vano por el marco.</t>
  </si>
  <si>
    <t xml:space="preserve">Proyecto: </t>
  </si>
  <si>
    <t>Ingrese el índice (residencial: 1,0; locales uso diurno: 0,4)</t>
  </si>
  <si>
    <t>E.Eléctrica [kWh/año]:</t>
  </si>
  <si>
    <t>BALANCE TERMICO SISTEMAS PASIVOS/ACTIVOS PARA EDIFICIOS</t>
  </si>
  <si>
    <t>PROYECTO:</t>
  </si>
  <si>
    <t xml:space="preserve">Localidad considerada: </t>
  </si>
  <si>
    <t>1- FORMA</t>
  </si>
  <si>
    <t>FAEP Muros</t>
  </si>
  <si>
    <t>FF</t>
  </si>
  <si>
    <t>2- BALANCE TÉRMICO DE CALEFACCION:</t>
  </si>
  <si>
    <t>2.1 - Coeficiente Neto de Pérdidas (excluye ventanas N, E y O)</t>
  </si>
  <si>
    <t>Elemento:</t>
  </si>
  <si>
    <t>2.2 Fracción de Ahorro Solar:</t>
  </si>
  <si>
    <t>Superficie colectora total:</t>
  </si>
  <si>
    <t>Fracción de Ahorro Solar:</t>
  </si>
  <si>
    <t>2.3 Calor auxiliar anual y costo:</t>
  </si>
  <si>
    <t>Importante</t>
  </si>
  <si>
    <t>Valor</t>
  </si>
  <si>
    <t>Unidad</t>
  </si>
  <si>
    <t>Precio</t>
  </si>
  <si>
    <t>Costo anual</t>
  </si>
  <si>
    <t>Electricidad</t>
  </si>
  <si>
    <t>kg GE</t>
  </si>
  <si>
    <t>m3 GN</t>
  </si>
  <si>
    <t>litros</t>
  </si>
  <si>
    <t>kg m.dura</t>
  </si>
  <si>
    <t>2.3 Potencia de calefacción:</t>
  </si>
  <si>
    <t>3- BALANCE TERMICO DE ENFRIAMIENTO</t>
  </si>
  <si>
    <t xml:space="preserve">Ganancia térmica diaria: </t>
  </si>
  <si>
    <t>Wh/día</t>
  </si>
  <si>
    <t>Potencia del equipo de aire acondicionado mecánico (no incluye rendimiento del equipo)</t>
  </si>
  <si>
    <t>3.1 Enfriamiento convectivo nocturno</t>
  </si>
  <si>
    <t>Superficie de ventanas de abrir:</t>
  </si>
  <si>
    <t>Masa Térmica considerada:</t>
  </si>
  <si>
    <r>
      <t>m</t>
    </r>
    <r>
      <rPr>
        <vertAlign val="superscript"/>
        <sz val="10"/>
        <rFont val="Arial"/>
        <family val="2"/>
      </rPr>
      <t>2</t>
    </r>
  </si>
  <si>
    <t>3.2 Ventilación Natural (en localidades o épocas que la temperatura exterior es de confort)</t>
  </si>
  <si>
    <t>Con estas aberturas aseguraríamos la ventilación suficiente para el edificio en los</t>
  </si>
  <si>
    <t>Vivienda Perez - Mar del Plata</t>
  </si>
  <si>
    <t>4.2- Energía ganada por iluminación artificial: (Ingrese la potencia y las horas que permanece encendida)</t>
  </si>
  <si>
    <t>4.3 - Ganancias internas por equipamiento</t>
  </si>
  <si>
    <t>Tomar el valor de consumo en 1h para el electrodoméstico de que se trate y colocarlo cada vez que se utilice en la hora correspondiente</t>
  </si>
  <si>
    <t>la cantidad de tiempo demandada según la siguiente equivalencia: si funciona 1h = colocar 0.5 ; si funciona 30 min. = 0.25 y así siguiendo.</t>
  </si>
  <si>
    <t>En cocina se considera 1 h para almuerzo y cena y 15 minutos para desayuno y mediatarde y si es a gas 1500W por hornalla y 3000 W el horno.</t>
  </si>
  <si>
    <t>Altura interior:</t>
  </si>
  <si>
    <t>Total:</t>
  </si>
  <si>
    <t>CNP:</t>
  </si>
  <si>
    <t>W/°C</t>
  </si>
  <si>
    <t>T.V. Led</t>
  </si>
  <si>
    <t>Notebook</t>
  </si>
  <si>
    <t>Concrehaus</t>
  </si>
  <si>
    <t>Ladrillo hueco</t>
  </si>
  <si>
    <t>Espesor [m]</t>
  </si>
  <si>
    <t>Material</t>
  </si>
  <si>
    <t>Muros interiores</t>
  </si>
  <si>
    <t>Muros Ing.:</t>
  </si>
  <si>
    <t>Ancho de fachada (m)</t>
  </si>
  <si>
    <r>
      <rPr>
        <b/>
        <sz val="10"/>
        <rFont val="Arial"/>
        <family val="2"/>
      </rPr>
      <t>Muros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</si>
  <si>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Puertas (m2)</t>
  </si>
  <si>
    <t>Ventanas (m2)</t>
  </si>
  <si>
    <t>Sup. Cubierta a calefaccionar</t>
  </si>
  <si>
    <t>Temperatura interior para la ventilación natural</t>
  </si>
  <si>
    <t>Altura  del muro</t>
  </si>
  <si>
    <t>Altura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</si>
</sst>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\(&quot;$&quot;#,##0\)"/>
    <numFmt numFmtId="165" formatCode="0.0"/>
    <numFmt numFmtId="166" formatCode="0.000"/>
    <numFmt numFmtId="167" formatCode="0.0%"/>
    <numFmt numFmtId="168" formatCode="[$$-2C0A]\ #,##0.0"/>
    <numFmt numFmtId="169" formatCode="&quot;$&quot;\ #,##0.00"/>
    <numFmt numFmtId="170" formatCode="&quot;$&quot;\ #,##0.0"/>
  </numFmts>
  <fonts count="25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vertAlign val="superscript"/>
      <sz val="10"/>
      <name val="Arial"/>
      <family val="2"/>
    </font>
    <font>
      <b/>
      <sz val="9"/>
      <color indexed="81"/>
      <name val="Tahoma"/>
      <family val="2"/>
    </font>
    <font>
      <u/>
      <sz val="8"/>
      <color indexed="81"/>
      <name val="Tahoma"/>
      <family val="2"/>
    </font>
    <font>
      <vertAlign val="superscript"/>
      <sz val="10"/>
      <name val="Aparajita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5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43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99"/>
        <bgColor indexed="9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FFFF99"/>
        <bgColor indexed="2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24"/>
      </patternFill>
    </fill>
    <fill>
      <patternFill patternType="solid">
        <fgColor rgb="FFFFC000"/>
        <bgColor indexed="9"/>
      </patternFill>
    </fill>
    <fill>
      <patternFill patternType="solid">
        <fgColor theme="0" tint="-0.34998626667073579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FBF6B7"/>
        <bgColor indexed="64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8">
    <xf numFmtId="0" fontId="0" fillId="0" borderId="0">
      <alignment vertical="top"/>
    </xf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4" fontId="9" fillId="0" borderId="0" applyFont="0" applyFill="0" applyBorder="0" applyAlignment="0" applyProtection="0"/>
    <xf numFmtId="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9" fillId="0" borderId="1" applyNumberFormat="0" applyFont="0" applyBorder="0" applyAlignment="0" applyProtection="0"/>
  </cellStyleXfs>
  <cellXfs count="664">
    <xf numFmtId="0" fontId="0" fillId="0" borderId="0" xfId="0" applyAlignment="1"/>
    <xf numFmtId="0" fontId="3" fillId="0" borderId="0" xfId="0" applyFont="1" applyAlignment="1"/>
    <xf numFmtId="0" fontId="0" fillId="2" borderId="2" xfId="0" applyFill="1" applyBorder="1" applyAlignment="1"/>
    <xf numFmtId="2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/>
    <xf numFmtId="0" fontId="3" fillId="3" borderId="4" xfId="0" applyFont="1" applyFill="1" applyBorder="1" applyAlignment="1"/>
    <xf numFmtId="0" fontId="3" fillId="4" borderId="0" xfId="0" applyFont="1" applyFill="1" applyAlignment="1"/>
    <xf numFmtId="0" fontId="0" fillId="4" borderId="0" xfId="0" applyFill="1" applyAlignment="1"/>
    <xf numFmtId="0" fontId="3" fillId="4" borderId="6" xfId="0" applyFont="1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6" xfId="0" applyFill="1" applyBorder="1" applyAlignment="1"/>
    <xf numFmtId="0" fontId="0" fillId="4" borderId="10" xfId="0" applyFill="1" applyBorder="1" applyAlignment="1"/>
    <xf numFmtId="0" fontId="0" fillId="4" borderId="11" xfId="0" applyFill="1" applyBorder="1" applyAlignment="1"/>
    <xf numFmtId="0" fontId="0" fillId="4" borderId="12" xfId="0" applyFill="1" applyBorder="1" applyAlignment="1"/>
    <xf numFmtId="0" fontId="3" fillId="4" borderId="9" xfId="0" applyFont="1" applyFill="1" applyBorder="1" applyAlignment="1"/>
    <xf numFmtId="0" fontId="0" fillId="4" borderId="0" xfId="0" applyFill="1" applyBorder="1" applyAlignment="1"/>
    <xf numFmtId="165" fontId="0" fillId="4" borderId="0" xfId="0" applyNumberFormat="1" applyFill="1" applyBorder="1" applyAlignment="1"/>
    <xf numFmtId="0" fontId="0" fillId="4" borderId="14" xfId="0" applyFill="1" applyBorder="1" applyAlignment="1"/>
    <xf numFmtId="2" fontId="0" fillId="4" borderId="0" xfId="0" applyNumberFormat="1" applyFill="1" applyBorder="1" applyAlignment="1"/>
    <xf numFmtId="0" fontId="5" fillId="4" borderId="9" xfId="0" applyFont="1" applyFill="1" applyBorder="1" applyAlignment="1"/>
    <xf numFmtId="2" fontId="3" fillId="4" borderId="0" xfId="0" applyNumberFormat="1" applyFont="1" applyFill="1" applyBorder="1" applyAlignment="1"/>
    <xf numFmtId="0" fontId="3" fillId="4" borderId="11" xfId="0" applyFont="1" applyFill="1" applyBorder="1" applyAlignment="1"/>
    <xf numFmtId="2" fontId="0" fillId="4" borderId="13" xfId="0" applyNumberFormat="1" applyFill="1" applyBorder="1" applyAlignment="1"/>
    <xf numFmtId="0" fontId="0" fillId="4" borderId="13" xfId="0" applyFill="1" applyBorder="1" applyAlignment="1"/>
    <xf numFmtId="0" fontId="7" fillId="4" borderId="4" xfId="0" applyFont="1" applyFill="1" applyBorder="1" applyAlignment="1"/>
    <xf numFmtId="0" fontId="0" fillId="4" borderId="5" xfId="0" applyFill="1" applyBorder="1" applyAlignment="1"/>
    <xf numFmtId="0" fontId="0" fillId="4" borderId="15" xfId="0" applyFill="1" applyBorder="1" applyAlignment="1"/>
    <xf numFmtId="0" fontId="0" fillId="4" borderId="16" xfId="0" applyFill="1" applyBorder="1" applyAlignment="1"/>
    <xf numFmtId="0" fontId="3" fillId="4" borderId="8" xfId="0" applyFont="1" applyFill="1" applyBorder="1" applyAlignment="1"/>
    <xf numFmtId="0" fontId="0" fillId="4" borderId="17" xfId="0" applyFill="1" applyBorder="1" applyAlignment="1"/>
    <xf numFmtId="0" fontId="3" fillId="4" borderId="3" xfId="0" applyFont="1" applyFill="1" applyBorder="1" applyAlignment="1"/>
    <xf numFmtId="0" fontId="3" fillId="4" borderId="12" xfId="0" applyFont="1" applyFill="1" applyBorder="1" applyAlignment="1">
      <alignment horizontal="center"/>
    </xf>
    <xf numFmtId="165" fontId="3" fillId="4" borderId="0" xfId="0" applyNumberFormat="1" applyFont="1" applyFill="1" applyBorder="1" applyAlignment="1"/>
    <xf numFmtId="166" fontId="0" fillId="4" borderId="0" xfId="0" applyNumberFormat="1" applyFill="1" applyBorder="1" applyAlignment="1"/>
    <xf numFmtId="165" fontId="3" fillId="4" borderId="13" xfId="0" applyNumberFormat="1" applyFont="1" applyFill="1" applyBorder="1" applyAlignment="1"/>
    <xf numFmtId="166" fontId="0" fillId="4" borderId="0" xfId="0" applyNumberFormat="1" applyFill="1" applyAlignment="1"/>
    <xf numFmtId="0" fontId="3" fillId="4" borderId="7" xfId="0" applyFont="1" applyFill="1" applyBorder="1" applyAlignment="1"/>
    <xf numFmtId="0" fontId="3" fillId="4" borderId="18" xfId="0" applyFont="1" applyFill="1" applyBorder="1" applyAlignment="1"/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4" xfId="0" applyFill="1" applyBorder="1" applyAlignment="1"/>
    <xf numFmtId="0" fontId="3" fillId="4" borderId="16" xfId="0" applyFont="1" applyFill="1" applyBorder="1" applyAlignment="1"/>
    <xf numFmtId="0" fontId="3" fillId="4" borderId="0" xfId="0" applyFont="1" applyFill="1" applyBorder="1" applyAlignment="1"/>
    <xf numFmtId="0" fontId="6" fillId="4" borderId="0" xfId="0" applyFont="1" applyFill="1" applyBorder="1" applyAlignment="1">
      <alignment horizontal="left"/>
    </xf>
    <xf numFmtId="0" fontId="3" fillId="4" borderId="21" xfId="0" applyFont="1" applyFill="1" applyBorder="1" applyAlignment="1"/>
    <xf numFmtId="0" fontId="0" fillId="4" borderId="22" xfId="0" applyFill="1" applyBorder="1" applyAlignment="1"/>
    <xf numFmtId="0" fontId="3" fillId="4" borderId="22" xfId="0" applyFont="1" applyFill="1" applyBorder="1" applyAlignment="1">
      <alignment horizontal="center"/>
    </xf>
    <xf numFmtId="0" fontId="0" fillId="4" borderId="23" xfId="0" applyFill="1" applyBorder="1" applyAlignment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0" fontId="3" fillId="4" borderId="17" xfId="0" applyFont="1" applyFill="1" applyBorder="1" applyAlignment="1"/>
    <xf numFmtId="0" fontId="3" fillId="4" borderId="22" xfId="0" applyFont="1" applyFill="1" applyBorder="1" applyAlignment="1"/>
    <xf numFmtId="0" fontId="0" fillId="4" borderId="21" xfId="0" applyFill="1" applyBorder="1" applyAlignment="1"/>
    <xf numFmtId="0" fontId="3" fillId="4" borderId="10" xfId="0" applyFont="1" applyFill="1" applyBorder="1" applyAlignment="1"/>
    <xf numFmtId="165" fontId="0" fillId="4" borderId="10" xfId="0" applyNumberFormat="1" applyFill="1" applyBorder="1" applyAlignment="1"/>
    <xf numFmtId="2" fontId="0" fillId="5" borderId="24" xfId="0" applyNumberFormat="1" applyFill="1" applyBorder="1" applyAlignment="1"/>
    <xf numFmtId="165" fontId="0" fillId="4" borderId="24" xfId="0" applyNumberFormat="1" applyFill="1" applyBorder="1" applyAlignment="1"/>
    <xf numFmtId="0" fontId="0" fillId="4" borderId="3" xfId="0" applyFill="1" applyBorder="1" applyAlignment="1"/>
    <xf numFmtId="165" fontId="3" fillId="4" borderId="3" xfId="0" applyNumberFormat="1" applyFont="1" applyFill="1" applyBorder="1" applyAlignment="1"/>
    <xf numFmtId="1" fontId="3" fillId="4" borderId="18" xfId="0" applyNumberFormat="1" applyFont="1" applyFill="1" applyBorder="1" applyAlignment="1"/>
    <xf numFmtId="0" fontId="3" fillId="4" borderId="20" xfId="0" applyFont="1" applyFill="1" applyBorder="1" applyAlignment="1"/>
    <xf numFmtId="2" fontId="0" fillId="4" borderId="0" xfId="0" applyNumberFormat="1" applyFill="1" applyAlignment="1"/>
    <xf numFmtId="0" fontId="3" fillId="4" borderId="0" xfId="0" applyFont="1" applyFill="1" applyAlignment="1">
      <alignment horizontal="center"/>
    </xf>
    <xf numFmtId="0" fontId="0" fillId="4" borderId="24" xfId="0" applyFill="1" applyBorder="1" applyAlignment="1"/>
    <xf numFmtId="0" fontId="0" fillId="4" borderId="25" xfId="0" applyFill="1" applyBorder="1" applyAlignment="1"/>
    <xf numFmtId="0" fontId="3" fillId="4" borderId="4" xfId="0" applyFont="1" applyFill="1" applyBorder="1" applyAlignment="1"/>
    <xf numFmtId="0" fontId="3" fillId="7" borderId="16" xfId="0" applyFont="1" applyFill="1" applyBorder="1">
      <alignment vertical="top"/>
    </xf>
    <xf numFmtId="165" fontId="3" fillId="4" borderId="22" xfId="0" applyNumberFormat="1" applyFont="1" applyFill="1" applyBorder="1" applyAlignment="1"/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7" fillId="4" borderId="16" xfId="0" applyFont="1" applyFill="1" applyBorder="1" applyAlignment="1"/>
    <xf numFmtId="0" fontId="3" fillId="4" borderId="16" xfId="0" applyFont="1" applyFill="1" applyBorder="1" applyAlignment="1">
      <alignment horizontal="center"/>
    </xf>
    <xf numFmtId="0" fontId="4" fillId="4" borderId="0" xfId="0" applyFont="1" applyFill="1" applyBorder="1" applyAlignment="1"/>
    <xf numFmtId="2" fontId="3" fillId="4" borderId="0" xfId="0" applyNumberFormat="1" applyFont="1" applyFill="1" applyAlignment="1"/>
    <xf numFmtId="0" fontId="0" fillId="0" borderId="0" xfId="0">
      <alignment vertical="top"/>
    </xf>
    <xf numFmtId="167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167" fontId="0" fillId="4" borderId="0" xfId="0" applyNumberFormat="1" applyFill="1" applyBorder="1" applyAlignment="1"/>
    <xf numFmtId="167" fontId="4" fillId="4" borderId="0" xfId="0" applyNumberFormat="1" applyFont="1" applyFill="1" applyBorder="1" applyAlignment="1">
      <alignment horizontal="center"/>
    </xf>
    <xf numFmtId="167" fontId="0" fillId="4" borderId="0" xfId="0" applyNumberFormat="1" applyFill="1" applyAlignment="1"/>
    <xf numFmtId="167" fontId="10" fillId="4" borderId="0" xfId="0" applyNumberFormat="1" applyFont="1" applyFill="1" applyBorder="1" applyAlignment="1">
      <alignment horizontal="center"/>
    </xf>
    <xf numFmtId="167" fontId="3" fillId="4" borderId="5" xfId="0" applyNumberFormat="1" applyFont="1" applyFill="1" applyBorder="1" applyAlignment="1"/>
    <xf numFmtId="165" fontId="0" fillId="4" borderId="0" xfId="0" applyNumberFormat="1" applyFill="1" applyAlignment="1"/>
    <xf numFmtId="0" fontId="3" fillId="0" borderId="0" xfId="0" applyFont="1">
      <alignment vertical="top"/>
    </xf>
    <xf numFmtId="0" fontId="3" fillId="0" borderId="0" xfId="0" applyFont="1" applyAlignment="1">
      <alignment horizontal="center"/>
    </xf>
    <xf numFmtId="0" fontId="0" fillId="8" borderId="0" xfId="0" applyFill="1">
      <alignment vertical="top"/>
    </xf>
    <xf numFmtId="165" fontId="0" fillId="0" borderId="0" xfId="0" applyNumberFormat="1">
      <alignment vertical="top"/>
    </xf>
    <xf numFmtId="0" fontId="0" fillId="0" borderId="0" xfId="0" applyBorder="1">
      <alignment vertical="top"/>
    </xf>
    <xf numFmtId="167" fontId="3" fillId="0" borderId="0" xfId="0" applyNumberFormat="1" applyFont="1" applyAlignment="1"/>
    <xf numFmtId="0" fontId="0" fillId="9" borderId="25" xfId="0" applyFill="1" applyBorder="1" applyAlignment="1"/>
    <xf numFmtId="0" fontId="3" fillId="7" borderId="0" xfId="0" applyFont="1" applyFill="1">
      <alignment vertical="top"/>
    </xf>
    <xf numFmtId="0" fontId="0" fillId="7" borderId="0" xfId="0" applyFill="1">
      <alignment vertical="top"/>
    </xf>
    <xf numFmtId="0" fontId="3" fillId="7" borderId="0" xfId="0" applyFont="1" applyFill="1" applyAlignment="1">
      <alignment horizontal="center"/>
    </xf>
    <xf numFmtId="165" fontId="0" fillId="7" borderId="0" xfId="0" applyNumberFormat="1" applyFill="1">
      <alignment vertical="top"/>
    </xf>
    <xf numFmtId="0" fontId="0" fillId="7" borderId="8" xfId="0" applyFill="1" applyBorder="1">
      <alignment vertical="top"/>
    </xf>
    <xf numFmtId="0" fontId="0" fillId="7" borderId="6" xfId="0" applyFill="1" applyBorder="1">
      <alignment vertical="top"/>
    </xf>
    <xf numFmtId="0" fontId="3" fillId="7" borderId="24" xfId="0" applyFont="1" applyFill="1" applyBorder="1">
      <alignment vertical="top"/>
    </xf>
    <xf numFmtId="0" fontId="0" fillId="7" borderId="14" xfId="0" applyFill="1" applyBorder="1">
      <alignment vertical="top"/>
    </xf>
    <xf numFmtId="0" fontId="0" fillId="7" borderId="10" xfId="0" applyFill="1" applyBorder="1">
      <alignment vertical="top"/>
    </xf>
    <xf numFmtId="0" fontId="0" fillId="7" borderId="0" xfId="0" applyFill="1" applyBorder="1">
      <alignment vertical="top"/>
    </xf>
    <xf numFmtId="0" fontId="3" fillId="7" borderId="11" xfId="0" applyFont="1" applyFill="1" applyBorder="1">
      <alignment vertical="top"/>
    </xf>
    <xf numFmtId="0" fontId="0" fillId="7" borderId="24" xfId="0" applyFill="1" applyBorder="1">
      <alignment vertical="top"/>
    </xf>
    <xf numFmtId="0" fontId="3" fillId="7" borderId="7" xfId="0" applyFont="1" applyFill="1" applyBorder="1">
      <alignment vertical="top"/>
    </xf>
    <xf numFmtId="0" fontId="0" fillId="7" borderId="7" xfId="0" applyFill="1" applyBorder="1">
      <alignment vertical="top"/>
    </xf>
    <xf numFmtId="0" fontId="3" fillId="7" borderId="6" xfId="0" applyFont="1" applyFill="1" applyBorder="1">
      <alignment vertical="top"/>
    </xf>
    <xf numFmtId="0" fontId="0" fillId="7" borderId="9" xfId="0" applyFill="1" applyBorder="1">
      <alignment vertical="top"/>
    </xf>
    <xf numFmtId="0" fontId="3" fillId="7" borderId="0" xfId="0" applyFont="1" applyFill="1" applyBorder="1">
      <alignment vertical="top"/>
    </xf>
    <xf numFmtId="0" fontId="3" fillId="7" borderId="9" xfId="0" applyFont="1" applyFill="1" applyBorder="1">
      <alignment vertical="top"/>
    </xf>
    <xf numFmtId="0" fontId="3" fillId="7" borderId="14" xfId="0" applyFont="1" applyFill="1" applyBorder="1">
      <alignment vertical="top"/>
    </xf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0" fillId="4" borderId="17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2" borderId="0" xfId="0" applyFill="1" applyAlignment="1"/>
    <xf numFmtId="2" fontId="0" fillId="4" borderId="22" xfId="0" applyNumberFormat="1" applyFill="1" applyBorder="1" applyAlignment="1"/>
    <xf numFmtId="0" fontId="3" fillId="7" borderId="0" xfId="0" applyFont="1" applyFill="1" applyAlignment="1">
      <alignment horizontal="center" vertical="top"/>
    </xf>
    <xf numFmtId="0" fontId="0" fillId="7" borderId="0" xfId="0" applyFill="1" applyAlignment="1">
      <alignment horizontal="center" vertical="top"/>
    </xf>
    <xf numFmtId="165" fontId="0" fillId="8" borderId="0" xfId="0" applyNumberFormat="1" applyFill="1" applyBorder="1" applyAlignment="1"/>
    <xf numFmtId="165" fontId="0" fillId="2" borderId="0" xfId="0" applyNumberFormat="1" applyFill="1" applyBorder="1" applyAlignment="1"/>
    <xf numFmtId="0" fontId="13" fillId="4" borderId="0" xfId="0" applyFont="1" applyFill="1" applyAlignment="1"/>
    <xf numFmtId="168" fontId="3" fillId="4" borderId="14" xfId="0" applyNumberFormat="1" applyFont="1" applyFill="1" applyBorder="1" applyAlignment="1"/>
    <xf numFmtId="168" fontId="3" fillId="4" borderId="12" xfId="0" applyNumberFormat="1" applyFont="1" applyFill="1" applyBorder="1" applyAlignment="1"/>
    <xf numFmtId="0" fontId="3" fillId="4" borderId="10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2" fontId="0" fillId="4" borderId="24" xfId="0" applyNumberFormat="1" applyFill="1" applyBorder="1" applyAlignment="1"/>
    <xf numFmtId="0" fontId="3" fillId="4" borderId="24" xfId="0" applyFont="1" applyFill="1" applyBorder="1" applyAlignment="1"/>
    <xf numFmtId="0" fontId="15" fillId="3" borderId="15" xfId="0" applyFont="1" applyFill="1" applyBorder="1" applyAlignment="1"/>
    <xf numFmtId="0" fontId="3" fillId="3" borderId="17" xfId="0" applyFont="1" applyFill="1" applyBorder="1" applyAlignment="1"/>
    <xf numFmtId="0" fontId="0" fillId="4" borderId="2" xfId="0" applyFill="1" applyBorder="1" applyAlignment="1"/>
    <xf numFmtId="0" fontId="4" fillId="4" borderId="0" xfId="0" applyFont="1" applyFill="1" applyAlignment="1"/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2" fontId="3" fillId="4" borderId="13" xfId="0" applyNumberFormat="1" applyFont="1" applyFill="1" applyBorder="1" applyAlignment="1"/>
    <xf numFmtId="2" fontId="3" fillId="4" borderId="19" xfId="0" applyNumberFormat="1" applyFont="1" applyFill="1" applyBorder="1" applyAlignment="1"/>
    <xf numFmtId="2" fontId="4" fillId="4" borderId="20" xfId="0" applyNumberFormat="1" applyFont="1" applyFill="1" applyBorder="1" applyAlignment="1"/>
    <xf numFmtId="0" fontId="4" fillId="4" borderId="20" xfId="0" applyFont="1" applyFill="1" applyBorder="1" applyAlignment="1"/>
    <xf numFmtId="0" fontId="3" fillId="4" borderId="3" xfId="0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165" fontId="0" fillId="4" borderId="14" xfId="0" applyNumberForma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5" fontId="3" fillId="6" borderId="24" xfId="0" applyNumberFormat="1" applyFont="1" applyFill="1" applyBorder="1" applyAlignment="1">
      <alignment horizontal="center"/>
    </xf>
    <xf numFmtId="166" fontId="0" fillId="4" borderId="14" xfId="0" applyNumberFormat="1" applyFill="1" applyBorder="1" applyAlignment="1">
      <alignment horizontal="center"/>
    </xf>
    <xf numFmtId="165" fontId="0" fillId="4" borderId="13" xfId="0" applyNumberForma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0" fontId="0" fillId="10" borderId="0" xfId="0" applyFill="1" applyAlignment="1"/>
    <xf numFmtId="2" fontId="0" fillId="2" borderId="34" xfId="0" applyNumberFormat="1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4" borderId="15" xfId="0" applyNumberFormat="1" applyFill="1" applyBorder="1" applyAlignment="1">
      <alignment horizontal="left"/>
    </xf>
    <xf numFmtId="165" fontId="0" fillId="4" borderId="2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10" borderId="0" xfId="0" applyFill="1" applyBorder="1" applyAlignment="1"/>
    <xf numFmtId="165" fontId="0" fillId="4" borderId="23" xfId="0" applyNumberFormat="1" applyFill="1" applyBorder="1" applyAlignment="1">
      <alignment horizontal="left"/>
    </xf>
    <xf numFmtId="0" fontId="3" fillId="4" borderId="19" xfId="0" applyFont="1" applyFill="1" applyBorder="1" applyAlignment="1"/>
    <xf numFmtId="165" fontId="3" fillId="4" borderId="19" xfId="0" applyNumberFormat="1" applyFont="1" applyFill="1" applyBorder="1" applyAlignment="1">
      <alignment horizontal="center"/>
    </xf>
    <xf numFmtId="165" fontId="3" fillId="4" borderId="20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left"/>
    </xf>
    <xf numFmtId="0" fontId="0" fillId="11" borderId="0" xfId="0" applyFill="1" applyAlignment="1"/>
    <xf numFmtId="0" fontId="0" fillId="10" borderId="5" xfId="0" applyFill="1" applyBorder="1" applyAlignment="1"/>
    <xf numFmtId="0" fontId="0" fillId="10" borderId="15" xfId="0" applyFill="1" applyBorder="1" applyAlignment="1"/>
    <xf numFmtId="168" fontId="3" fillId="12" borderId="0" xfId="0" applyNumberFormat="1" applyFont="1" applyFill="1" applyBorder="1" applyAlignment="1"/>
    <xf numFmtId="168" fontId="3" fillId="12" borderId="13" xfId="0" applyNumberFormat="1" applyFont="1" applyFill="1" applyBorder="1" applyAlignment="1"/>
    <xf numFmtId="0" fontId="3" fillId="11" borderId="0" xfId="0" applyFont="1" applyFill="1">
      <alignment vertical="top"/>
    </xf>
    <xf numFmtId="0" fontId="3" fillId="10" borderId="0" xfId="0" applyFont="1" applyFill="1" applyAlignment="1"/>
    <xf numFmtId="0" fontId="0" fillId="13" borderId="0" xfId="0" applyFill="1">
      <alignment vertical="top"/>
    </xf>
    <xf numFmtId="0" fontId="4" fillId="13" borderId="0" xfId="0" applyFont="1" applyFill="1">
      <alignment vertical="top"/>
    </xf>
    <xf numFmtId="0" fontId="4" fillId="10" borderId="11" xfId="0" applyFont="1" applyFill="1" applyBorder="1" applyAlignment="1"/>
    <xf numFmtId="166" fontId="0" fillId="4" borderId="2" xfId="0" applyNumberFormat="1" applyFill="1" applyBorder="1" applyAlignment="1"/>
    <xf numFmtId="2" fontId="0" fillId="4" borderId="2" xfId="0" applyNumberFormat="1" applyFill="1" applyBorder="1" applyAlignment="1"/>
    <xf numFmtId="0" fontId="3" fillId="13" borderId="10" xfId="0" applyFont="1" applyFill="1" applyBorder="1">
      <alignment vertical="top"/>
    </xf>
    <xf numFmtId="0" fontId="3" fillId="13" borderId="10" xfId="0" applyFont="1" applyFill="1" applyBorder="1" applyAlignment="1">
      <alignment horizontal="center" vertical="top"/>
    </xf>
    <xf numFmtId="0" fontId="3" fillId="10" borderId="10" xfId="0" applyFont="1" applyFill="1" applyBorder="1" applyAlignment="1">
      <alignment horizontal="center"/>
    </xf>
    <xf numFmtId="0" fontId="3" fillId="13" borderId="3" xfId="0" applyFont="1" applyFill="1" applyBorder="1">
      <alignment vertical="top"/>
    </xf>
    <xf numFmtId="0" fontId="3" fillId="13" borderId="3" xfId="0" applyFont="1" applyFill="1" applyBorder="1" applyAlignment="1">
      <alignment horizontal="center" vertical="top"/>
    </xf>
    <xf numFmtId="0" fontId="3" fillId="10" borderId="3" xfId="0" applyFont="1" applyFill="1" applyBorder="1" applyAlignment="1">
      <alignment horizontal="center"/>
    </xf>
    <xf numFmtId="0" fontId="0" fillId="13" borderId="2" xfId="0" applyFill="1" applyBorder="1">
      <alignment vertical="top"/>
    </xf>
    <xf numFmtId="0" fontId="0" fillId="14" borderId="2" xfId="0" applyFill="1" applyBorder="1" applyAlignment="1">
      <alignment horizontal="center" vertical="top"/>
    </xf>
    <xf numFmtId="0" fontId="0" fillId="10" borderId="2" xfId="0" applyFill="1" applyBorder="1" applyAlignment="1"/>
    <xf numFmtId="0" fontId="0" fillId="15" borderId="2" xfId="0" applyFill="1" applyBorder="1" applyAlignment="1">
      <alignment horizontal="center"/>
    </xf>
    <xf numFmtId="0" fontId="0" fillId="11" borderId="2" xfId="0" applyFill="1" applyBorder="1" applyAlignment="1"/>
    <xf numFmtId="0" fontId="3" fillId="13" borderId="0" xfId="0" applyFont="1" applyFill="1">
      <alignment vertical="top"/>
    </xf>
    <xf numFmtId="0" fontId="0" fillId="13" borderId="25" xfId="0" applyFill="1" applyBorder="1">
      <alignment vertical="top"/>
    </xf>
    <xf numFmtId="0" fontId="0" fillId="10" borderId="26" xfId="0" applyFill="1" applyBorder="1" applyAlignment="1"/>
    <xf numFmtId="2" fontId="0" fillId="13" borderId="0" xfId="0" applyNumberFormat="1" applyFill="1">
      <alignment vertical="top"/>
    </xf>
    <xf numFmtId="0" fontId="3" fillId="13" borderId="18" xfId="0" applyFont="1" applyFill="1" applyBorder="1">
      <alignment vertical="top"/>
    </xf>
    <xf numFmtId="2" fontId="3" fillId="13" borderId="19" xfId="0" applyNumberFormat="1" applyFont="1" applyFill="1" applyBorder="1">
      <alignment vertical="top"/>
    </xf>
    <xf numFmtId="0" fontId="3" fillId="13" borderId="20" xfId="0" applyFont="1" applyFill="1" applyBorder="1">
      <alignment vertical="top"/>
    </xf>
    <xf numFmtId="0" fontId="5" fillId="4" borderId="1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0" fontId="3" fillId="10" borderId="16" xfId="0" applyFont="1" applyFill="1" applyBorder="1" applyAlignment="1"/>
    <xf numFmtId="0" fontId="3" fillId="10" borderId="0" xfId="0" applyFont="1" applyFill="1" applyBorder="1" applyAlignment="1"/>
    <xf numFmtId="0" fontId="0" fillId="11" borderId="5" xfId="0" applyFill="1" applyBorder="1" applyAlignment="1"/>
    <xf numFmtId="0" fontId="3" fillId="4" borderId="42" xfId="0" applyFont="1" applyFill="1" applyBorder="1" applyAlignment="1"/>
    <xf numFmtId="0" fontId="3" fillId="4" borderId="15" xfId="0" applyFont="1" applyFill="1" applyBorder="1" applyAlignment="1"/>
    <xf numFmtId="0" fontId="0" fillId="11" borderId="22" xfId="0" applyFill="1" applyBorder="1" applyAlignment="1"/>
    <xf numFmtId="0" fontId="0" fillId="4" borderId="43" xfId="0" applyFill="1" applyBorder="1" applyAlignment="1"/>
    <xf numFmtId="2" fontId="0" fillId="13" borderId="12" xfId="0" applyNumberFormat="1" applyFill="1" applyBorder="1">
      <alignment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2" fontId="0" fillId="5" borderId="0" xfId="0" applyNumberFormat="1" applyFill="1" applyAlignment="1">
      <alignment horizontal="center" vertical="top"/>
    </xf>
    <xf numFmtId="165" fontId="0" fillId="7" borderId="0" xfId="0" applyNumberFormat="1" applyFill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7" borderId="14" xfId="0" applyFill="1" applyBorder="1" applyAlignment="1">
      <alignment horizontal="center" vertical="top"/>
    </xf>
    <xf numFmtId="0" fontId="0" fillId="7" borderId="8" xfId="0" applyFill="1" applyBorder="1" applyAlignment="1">
      <alignment horizontal="center" vertical="top"/>
    </xf>
    <xf numFmtId="0" fontId="0" fillId="7" borderId="10" xfId="0" applyFill="1" applyBorder="1" applyAlignment="1">
      <alignment horizontal="center" vertical="top"/>
    </xf>
    <xf numFmtId="0" fontId="0" fillId="7" borderId="12" xfId="0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0" fontId="3" fillId="7" borderId="24" xfId="0" applyFont="1" applyFill="1" applyBorder="1" applyAlignment="1">
      <alignment horizontal="center"/>
    </xf>
    <xf numFmtId="0" fontId="0" fillId="7" borderId="6" xfId="0" applyFill="1" applyBorder="1" applyAlignment="1">
      <alignment horizontal="center" vertical="top"/>
    </xf>
    <xf numFmtId="0" fontId="0" fillId="7" borderId="7" xfId="0" applyFill="1" applyBorder="1" applyAlignment="1">
      <alignment horizontal="center" vertical="top"/>
    </xf>
    <xf numFmtId="165" fontId="0" fillId="7" borderId="9" xfId="0" applyNumberFormat="1" applyFill="1" applyBorder="1" applyAlignment="1">
      <alignment horizontal="center" vertical="top"/>
    </xf>
    <xf numFmtId="165" fontId="0" fillId="7" borderId="24" xfId="0" applyNumberFormat="1" applyFill="1" applyBorder="1" applyAlignment="1">
      <alignment horizontal="center" vertical="top"/>
    </xf>
    <xf numFmtId="165" fontId="0" fillId="7" borderId="0" xfId="0" applyNumberFormat="1" applyFill="1" applyBorder="1" applyAlignment="1">
      <alignment horizontal="center" vertical="top"/>
    </xf>
    <xf numFmtId="165" fontId="0" fillId="7" borderId="14" xfId="0" applyNumberFormat="1" applyFill="1" applyBorder="1" applyAlignment="1">
      <alignment horizontal="center" vertical="top"/>
    </xf>
    <xf numFmtId="165" fontId="0" fillId="7" borderId="11" xfId="0" applyNumberFormat="1" applyFill="1" applyBorder="1" applyAlignment="1">
      <alignment horizontal="center" vertical="top"/>
    </xf>
    <xf numFmtId="165" fontId="0" fillId="7" borderId="3" xfId="0" applyNumberFormat="1" applyFill="1" applyBorder="1" applyAlignment="1">
      <alignment horizontal="center" vertical="top"/>
    </xf>
    <xf numFmtId="165" fontId="0" fillId="7" borderId="13" xfId="0" applyNumberFormat="1" applyFill="1" applyBorder="1" applyAlignment="1">
      <alignment horizontal="center" vertical="top"/>
    </xf>
    <xf numFmtId="165" fontId="0" fillId="7" borderId="12" xfId="0" applyNumberFormat="1" applyFill="1" applyBorder="1" applyAlignment="1">
      <alignment horizontal="center" vertical="top"/>
    </xf>
    <xf numFmtId="167" fontId="0" fillId="7" borderId="13" xfId="0" applyNumberFormat="1" applyFill="1" applyBorder="1" applyAlignment="1">
      <alignment horizontal="center" vertical="top"/>
    </xf>
    <xf numFmtId="0" fontId="0" fillId="10" borderId="21" xfId="0" applyFill="1" applyBorder="1" applyAlignment="1"/>
    <xf numFmtId="0" fontId="0" fillId="0" borderId="0" xfId="0" applyFill="1" applyAlignment="1"/>
    <xf numFmtId="0" fontId="0" fillId="0" borderId="0" xfId="0" applyBorder="1" applyAlignment="1"/>
    <xf numFmtId="0" fontId="0" fillId="9" borderId="0" xfId="0" applyFill="1" applyBorder="1" applyAlignment="1"/>
    <xf numFmtId="0" fontId="0" fillId="9" borderId="0" xfId="0" applyFill="1" applyBorder="1" applyAlignment="1">
      <alignment horizontal="center"/>
    </xf>
    <xf numFmtId="0" fontId="3" fillId="0" borderId="0" xfId="0" applyFont="1" applyFill="1" applyAlignment="1"/>
    <xf numFmtId="0" fontId="4" fillId="4" borderId="9" xfId="0" applyFont="1" applyFill="1" applyBorder="1" applyAlignment="1"/>
    <xf numFmtId="0" fontId="3" fillId="4" borderId="13" xfId="0" applyFont="1" applyFill="1" applyBorder="1" applyAlignment="1"/>
    <xf numFmtId="0" fontId="4" fillId="4" borderId="11" xfId="0" applyFont="1" applyFill="1" applyBorder="1" applyAlignment="1"/>
    <xf numFmtId="0" fontId="0" fillId="4" borderId="2" xfId="0" applyFill="1" applyBorder="1" applyAlignment="1">
      <alignment horizontal="right"/>
    </xf>
    <xf numFmtId="2" fontId="0" fillId="4" borderId="2" xfId="0" applyNumberFormat="1" applyFill="1" applyBorder="1" applyAlignment="1">
      <alignment horizontal="right"/>
    </xf>
    <xf numFmtId="0" fontId="4" fillId="4" borderId="6" xfId="0" applyFont="1" applyFill="1" applyBorder="1" applyAlignment="1"/>
    <xf numFmtId="0" fontId="4" fillId="11" borderId="0" xfId="0" applyFont="1" applyFill="1" applyBorder="1" applyAlignment="1"/>
    <xf numFmtId="166" fontId="0" fillId="4" borderId="7" xfId="0" applyNumberFormat="1" applyFill="1" applyBorder="1" applyAlignment="1"/>
    <xf numFmtId="2" fontId="0" fillId="4" borderId="8" xfId="0" applyNumberFormat="1" applyFill="1" applyBorder="1" applyAlignment="1"/>
    <xf numFmtId="2" fontId="0" fillId="4" borderId="14" xfId="0" applyNumberFormat="1" applyFill="1" applyBorder="1" applyAlignment="1"/>
    <xf numFmtId="0" fontId="5" fillId="4" borderId="24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0" fillId="7" borderId="4" xfId="0" applyFill="1" applyBorder="1">
      <alignment vertical="top"/>
    </xf>
    <xf numFmtId="0" fontId="0" fillId="7" borderId="5" xfId="0" applyFill="1" applyBorder="1">
      <alignment vertical="top"/>
    </xf>
    <xf numFmtId="0" fontId="0" fillId="7" borderId="15" xfId="0" applyFill="1" applyBorder="1">
      <alignment vertical="top"/>
    </xf>
    <xf numFmtId="0" fontId="0" fillId="7" borderId="16" xfId="0" applyFill="1" applyBorder="1">
      <alignment vertical="top"/>
    </xf>
    <xf numFmtId="0" fontId="0" fillId="7" borderId="21" xfId="0" applyFill="1" applyBorder="1">
      <alignment vertical="top"/>
    </xf>
    <xf numFmtId="0" fontId="0" fillId="7" borderId="17" xfId="0" applyFill="1" applyBorder="1">
      <alignment vertical="top"/>
    </xf>
    <xf numFmtId="0" fontId="0" fillId="14" borderId="22" xfId="0" applyFill="1" applyBorder="1">
      <alignment vertical="top"/>
    </xf>
    <xf numFmtId="0" fontId="0" fillId="7" borderId="23" xfId="0" applyFill="1" applyBorder="1">
      <alignment vertical="top"/>
    </xf>
    <xf numFmtId="0" fontId="3" fillId="7" borderId="4" xfId="0" applyFont="1" applyFill="1" applyBorder="1">
      <alignment vertical="top"/>
    </xf>
    <xf numFmtId="165" fontId="0" fillId="7" borderId="5" xfId="0" applyNumberFormat="1" applyFill="1" applyBorder="1">
      <alignment vertical="top"/>
    </xf>
    <xf numFmtId="2" fontId="0" fillId="7" borderId="0" xfId="0" applyNumberFormat="1" applyFill="1" applyBorder="1">
      <alignment vertical="top"/>
    </xf>
    <xf numFmtId="0" fontId="3" fillId="7" borderId="17" xfId="0" applyFont="1" applyFill="1" applyBorder="1">
      <alignment vertical="top"/>
    </xf>
    <xf numFmtId="0" fontId="0" fillId="7" borderId="22" xfId="0" applyFill="1" applyBorder="1">
      <alignment vertical="top"/>
    </xf>
    <xf numFmtId="2" fontId="0" fillId="7" borderId="22" xfId="0" applyNumberFormat="1" applyFill="1" applyBorder="1">
      <alignment vertical="top"/>
    </xf>
    <xf numFmtId="165" fontId="0" fillId="4" borderId="5" xfId="0" applyNumberFormat="1" applyFill="1" applyBorder="1" applyAlignment="1">
      <alignment horizontal="right"/>
    </xf>
    <xf numFmtId="165" fontId="0" fillId="4" borderId="0" xfId="0" applyNumberFormat="1" applyFill="1" applyBorder="1" applyAlignment="1">
      <alignment horizontal="right"/>
    </xf>
    <xf numFmtId="0" fontId="15" fillId="3" borderId="4" xfId="0" applyFont="1" applyFill="1" applyBorder="1" applyAlignment="1"/>
    <xf numFmtId="0" fontId="15" fillId="3" borderId="17" xfId="0" applyFont="1" applyFill="1" applyBorder="1" applyAlignment="1"/>
    <xf numFmtId="165" fontId="3" fillId="4" borderId="22" xfId="0" applyNumberFormat="1" applyFont="1" applyFill="1" applyBorder="1" applyAlignment="1">
      <alignment horizontal="center"/>
    </xf>
    <xf numFmtId="0" fontId="0" fillId="12" borderId="2" xfId="0" applyFill="1" applyBorder="1" applyAlignment="1"/>
    <xf numFmtId="165" fontId="0" fillId="4" borderId="5" xfId="0" applyNumberFormat="1" applyFill="1" applyBorder="1" applyAlignment="1"/>
    <xf numFmtId="0" fontId="10" fillId="4" borderId="2" xfId="0" applyFont="1" applyFill="1" applyBorder="1" applyAlignment="1"/>
    <xf numFmtId="0" fontId="4" fillId="13" borderId="2" xfId="0" applyFont="1" applyFill="1" applyBorder="1">
      <alignment vertical="top"/>
    </xf>
    <xf numFmtId="0" fontId="0" fillId="14" borderId="2" xfId="0" applyFill="1" applyBorder="1">
      <alignment vertical="top"/>
    </xf>
    <xf numFmtId="0" fontId="4" fillId="14" borderId="2" xfId="0" applyFont="1" applyFill="1" applyBorder="1">
      <alignment vertical="top"/>
    </xf>
    <xf numFmtId="0" fontId="10" fillId="14" borderId="2" xfId="0" applyFont="1" applyFill="1" applyBorder="1">
      <alignment vertical="top"/>
    </xf>
    <xf numFmtId="0" fontId="16" fillId="0" borderId="0" xfId="0" applyFont="1" applyBorder="1" applyAlignment="1">
      <alignment horizontal="justify" vertical="top" wrapText="1"/>
    </xf>
    <xf numFmtId="165" fontId="16" fillId="0" borderId="0" xfId="0" applyNumberFormat="1" applyFont="1" applyBorder="1" applyAlignment="1">
      <alignment horizontal="justify" vertical="top" wrapText="1"/>
    </xf>
    <xf numFmtId="0" fontId="16" fillId="0" borderId="0" xfId="0" applyFont="1" applyFill="1" applyBorder="1" applyAlignment="1">
      <alignment horizontal="justify" vertical="top" wrapText="1"/>
    </xf>
    <xf numFmtId="0" fontId="4" fillId="7" borderId="0" xfId="0" applyFont="1" applyFill="1" applyAlignment="1">
      <alignment horizontal="center" vertical="top"/>
    </xf>
    <xf numFmtId="0" fontId="4" fillId="7" borderId="0" xfId="0" applyFont="1" applyFill="1">
      <alignment vertical="top"/>
    </xf>
    <xf numFmtId="0" fontId="0" fillId="0" borderId="0" xfId="0" applyFill="1" applyBorder="1" applyAlignment="1"/>
    <xf numFmtId="0" fontId="0" fillId="0" borderId="0" xfId="0" applyFont="1" applyFill="1" applyBorder="1">
      <alignment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>
      <alignment vertical="top"/>
    </xf>
    <xf numFmtId="0" fontId="0" fillId="0" borderId="0" xfId="0" applyFill="1" applyBorder="1">
      <alignment vertical="top"/>
    </xf>
    <xf numFmtId="0" fontId="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3" fillId="7" borderId="15" xfId="0" applyFont="1" applyFill="1" applyBorder="1">
      <alignment vertical="top"/>
    </xf>
    <xf numFmtId="0" fontId="3" fillId="7" borderId="4" xfId="0" applyFont="1" applyFill="1" applyBorder="1" applyAlignment="1">
      <alignment horizontal="left" vertical="top"/>
    </xf>
    <xf numFmtId="0" fontId="4" fillId="7" borderId="36" xfId="0" applyFont="1" applyFill="1" applyBorder="1" applyAlignment="1">
      <alignment horizontal="center" vertical="top"/>
    </xf>
    <xf numFmtId="0" fontId="4" fillId="7" borderId="37" xfId="0" applyFont="1" applyFill="1" applyBorder="1" applyAlignment="1">
      <alignment horizontal="center" vertical="top"/>
    </xf>
    <xf numFmtId="0" fontId="0" fillId="4" borderId="33" xfId="0" applyFill="1" applyBorder="1" applyAlignment="1"/>
    <xf numFmtId="165" fontId="0" fillId="7" borderId="34" xfId="0" applyNumberFormat="1" applyFill="1" applyBorder="1" applyAlignment="1">
      <alignment horizontal="center" vertical="top"/>
    </xf>
    <xf numFmtId="167" fontId="0" fillId="7" borderId="34" xfId="0" applyNumberFormat="1" applyFill="1" applyBorder="1" applyAlignment="1">
      <alignment horizontal="center" vertical="top"/>
    </xf>
    <xf numFmtId="165" fontId="0" fillId="4" borderId="34" xfId="0" applyNumberFormat="1" applyFill="1" applyBorder="1" applyAlignment="1">
      <alignment horizontal="center"/>
    </xf>
    <xf numFmtId="167" fontId="0" fillId="4" borderId="35" xfId="0" applyNumberFormat="1" applyFill="1" applyBorder="1" applyAlignment="1">
      <alignment horizontal="center"/>
    </xf>
    <xf numFmtId="0" fontId="0" fillId="7" borderId="39" xfId="0" applyFill="1" applyBorder="1">
      <alignment vertical="top"/>
    </xf>
    <xf numFmtId="165" fontId="0" fillId="7" borderId="40" xfId="0" applyNumberFormat="1" applyFill="1" applyBorder="1" applyAlignment="1">
      <alignment horizontal="center" vertical="top"/>
    </xf>
    <xf numFmtId="167" fontId="0" fillId="7" borderId="40" xfId="0" applyNumberFormat="1" applyFill="1" applyBorder="1" applyAlignment="1">
      <alignment horizontal="center" vertical="top"/>
    </xf>
    <xf numFmtId="165" fontId="0" fillId="4" borderId="40" xfId="0" applyNumberFormat="1" applyFill="1" applyBorder="1" applyAlignment="1">
      <alignment horizontal="center"/>
    </xf>
    <xf numFmtId="167" fontId="0" fillId="4" borderId="41" xfId="0" applyNumberFormat="1" applyFill="1" applyBorder="1" applyAlignment="1">
      <alignment horizontal="center"/>
    </xf>
    <xf numFmtId="0" fontId="4" fillId="7" borderId="0" xfId="0" applyFont="1" applyFill="1" applyAlignment="1">
      <alignment horizontal="left" vertical="top"/>
    </xf>
    <xf numFmtId="0" fontId="0" fillId="7" borderId="20" xfId="0" applyFill="1" applyBorder="1" applyAlignment="1">
      <alignment horizontal="center" vertical="top"/>
    </xf>
    <xf numFmtId="0" fontId="3" fillId="7" borderId="0" xfId="0" applyFont="1" applyFill="1" applyAlignment="1">
      <alignment horizontal="left" vertical="top"/>
    </xf>
    <xf numFmtId="0" fontId="4" fillId="16" borderId="0" xfId="0" applyFont="1" applyFill="1">
      <alignment vertical="top"/>
    </xf>
    <xf numFmtId="0" fontId="0" fillId="16" borderId="0" xfId="0" applyFill="1">
      <alignment vertical="top"/>
    </xf>
    <xf numFmtId="0" fontId="0" fillId="17" borderId="0" xfId="0" applyFill="1" applyAlignment="1"/>
    <xf numFmtId="0" fontId="3" fillId="7" borderId="18" xfId="0" applyFont="1" applyFill="1" applyBorder="1" applyAlignment="1">
      <alignment horizontal="center" vertical="top"/>
    </xf>
    <xf numFmtId="0" fontId="6" fillId="4" borderId="0" xfId="0" applyFont="1" applyFill="1" applyAlignment="1"/>
    <xf numFmtId="0" fontId="0" fillId="7" borderId="18" xfId="0" applyFill="1" applyBorder="1">
      <alignment vertical="top"/>
    </xf>
    <xf numFmtId="0" fontId="0" fillId="7" borderId="27" xfId="0" applyFill="1" applyBorder="1">
      <alignment vertical="top"/>
    </xf>
    <xf numFmtId="0" fontId="0" fillId="7" borderId="45" xfId="0" applyFill="1" applyBorder="1">
      <alignment vertical="top"/>
    </xf>
    <xf numFmtId="0" fontId="0" fillId="7" borderId="30" xfId="0" applyFill="1" applyBorder="1">
      <alignment vertical="top"/>
    </xf>
    <xf numFmtId="0" fontId="0" fillId="7" borderId="44" xfId="0" applyFill="1" applyBorder="1">
      <alignment vertical="top"/>
    </xf>
    <xf numFmtId="0" fontId="4" fillId="7" borderId="15" xfId="0" applyFont="1" applyFill="1" applyBorder="1">
      <alignment vertical="top"/>
    </xf>
    <xf numFmtId="0" fontId="4" fillId="7" borderId="19" xfId="0" applyFont="1" applyFill="1" applyBorder="1">
      <alignment vertical="top"/>
    </xf>
    <xf numFmtId="0" fontId="4" fillId="7" borderId="20" xfId="0" applyFont="1" applyFill="1" applyBorder="1">
      <alignment vertical="top"/>
    </xf>
    <xf numFmtId="0" fontId="4" fillId="7" borderId="18" xfId="0" applyFont="1" applyFill="1" applyBorder="1" applyAlignment="1">
      <alignment horizontal="center" vertical="top"/>
    </xf>
    <xf numFmtId="0" fontId="0" fillId="8" borderId="20" xfId="0" applyFill="1" applyBorder="1" applyAlignment="1">
      <alignment horizontal="center" vertical="top"/>
    </xf>
    <xf numFmtId="0" fontId="4" fillId="7" borderId="44" xfId="0" applyFont="1" applyFill="1" applyBorder="1">
      <alignment vertical="top"/>
    </xf>
    <xf numFmtId="0" fontId="0" fillId="8" borderId="45" xfId="0" applyFill="1" applyBorder="1" applyAlignment="1">
      <alignment horizontal="center" vertical="top"/>
    </xf>
    <xf numFmtId="0" fontId="0" fillId="8" borderId="30" xfId="0" applyFill="1" applyBorder="1" applyAlignment="1">
      <alignment horizontal="center" vertical="top"/>
    </xf>
    <xf numFmtId="0" fontId="10" fillId="7" borderId="27" xfId="0" applyFont="1" applyFill="1" applyBorder="1" applyAlignment="1">
      <alignment horizontal="center" vertical="top"/>
    </xf>
    <xf numFmtId="0" fontId="4" fillId="7" borderId="21" xfId="0" applyFont="1" applyFill="1" applyBorder="1" applyAlignment="1">
      <alignment horizontal="center" vertical="top"/>
    </xf>
    <xf numFmtId="0" fontId="4" fillId="7" borderId="19" xfId="0" applyFont="1" applyFill="1" applyBorder="1" applyAlignment="1">
      <alignment horizontal="center" vertical="top"/>
    </xf>
    <xf numFmtId="0" fontId="10" fillId="7" borderId="15" xfId="0" applyFont="1" applyFill="1" applyBorder="1" applyAlignment="1">
      <alignment horizontal="center" vertical="top"/>
    </xf>
    <xf numFmtId="0" fontId="3" fillId="7" borderId="27" xfId="0" applyFont="1" applyFill="1" applyBorder="1">
      <alignment vertical="top"/>
    </xf>
    <xf numFmtId="0" fontId="3" fillId="7" borderId="30" xfId="0" applyFont="1" applyFill="1" applyBorder="1">
      <alignment vertical="top"/>
    </xf>
    <xf numFmtId="0" fontId="3" fillId="7" borderId="45" xfId="0" applyFont="1" applyFill="1" applyBorder="1">
      <alignment vertical="top"/>
    </xf>
    <xf numFmtId="0" fontId="0" fillId="7" borderId="22" xfId="0" applyFill="1" applyBorder="1" applyAlignment="1">
      <alignment horizontal="center" vertical="top"/>
    </xf>
    <xf numFmtId="0" fontId="0" fillId="8" borderId="19" xfId="0" applyFill="1" applyBorder="1" applyAlignment="1">
      <alignment horizontal="center" vertical="top"/>
    </xf>
    <xf numFmtId="0" fontId="10" fillId="7" borderId="4" xfId="0" applyFont="1" applyFill="1" applyBorder="1" applyAlignment="1">
      <alignment horizontal="center" vertical="top"/>
    </xf>
    <xf numFmtId="0" fontId="0" fillId="7" borderId="16" xfId="0" applyFill="1" applyBorder="1" applyAlignment="1">
      <alignment horizontal="center" vertical="top"/>
    </xf>
    <xf numFmtId="0" fontId="0" fillId="7" borderId="17" xfId="0" applyFill="1" applyBorder="1" applyAlignment="1">
      <alignment horizontal="center" vertical="top"/>
    </xf>
    <xf numFmtId="0" fontId="0" fillId="8" borderId="21" xfId="0" applyFill="1" applyBorder="1" applyAlignment="1">
      <alignment horizontal="center" vertical="top"/>
    </xf>
    <xf numFmtId="0" fontId="0" fillId="8" borderId="23" xfId="0" applyFill="1" applyBorder="1" applyAlignment="1">
      <alignment horizontal="center" vertical="top"/>
    </xf>
    <xf numFmtId="0" fontId="0" fillId="7" borderId="21" xfId="0" applyFill="1" applyBorder="1" applyAlignment="1">
      <alignment horizontal="center" vertical="top"/>
    </xf>
    <xf numFmtId="0" fontId="0" fillId="7" borderId="23" xfId="0" applyFill="1" applyBorder="1" applyAlignment="1">
      <alignment horizontal="center" vertical="top"/>
    </xf>
    <xf numFmtId="165" fontId="0" fillId="7" borderId="0" xfId="0" applyNumberFormat="1" applyFill="1" applyBorder="1">
      <alignment vertical="top"/>
    </xf>
    <xf numFmtId="165" fontId="0" fillId="7" borderId="22" xfId="0" applyNumberFormat="1" applyFill="1" applyBorder="1">
      <alignment vertical="top"/>
    </xf>
    <xf numFmtId="0" fontId="0" fillId="11" borderId="0" xfId="0" applyFill="1">
      <alignment vertical="top"/>
    </xf>
    <xf numFmtId="165" fontId="0" fillId="11" borderId="3" xfId="0" applyNumberFormat="1" applyFill="1" applyBorder="1" applyAlignment="1">
      <alignment horizontal="center" vertical="top"/>
    </xf>
    <xf numFmtId="0" fontId="3" fillId="11" borderId="47" xfId="0" applyFont="1" applyFill="1" applyBorder="1" applyAlignment="1"/>
    <xf numFmtId="0" fontId="0" fillId="11" borderId="47" xfId="0" applyFill="1" applyBorder="1" applyAlignment="1"/>
    <xf numFmtId="0" fontId="0" fillId="11" borderId="26" xfId="0" applyFill="1" applyBorder="1" applyAlignment="1"/>
    <xf numFmtId="165" fontId="0" fillId="11" borderId="24" xfId="0" applyNumberFormat="1" applyFill="1" applyBorder="1" applyAlignment="1">
      <alignment horizontal="center" vertical="top"/>
    </xf>
    <xf numFmtId="165" fontId="0" fillId="11" borderId="24" xfId="0" applyNumberFormat="1" applyFill="1" applyBorder="1" applyAlignment="1">
      <alignment horizontal="center"/>
    </xf>
    <xf numFmtId="0" fontId="0" fillId="11" borderId="10" xfId="0" applyFill="1" applyBorder="1" applyAlignment="1"/>
    <xf numFmtId="165" fontId="0" fillId="11" borderId="0" xfId="0" applyNumberFormat="1" applyFill="1" applyAlignment="1"/>
    <xf numFmtId="165" fontId="3" fillId="7" borderId="0" xfId="0" applyNumberFormat="1" applyFont="1" applyFill="1">
      <alignment vertical="top"/>
    </xf>
    <xf numFmtId="167" fontId="0" fillId="0" borderId="0" xfId="0" applyNumberFormat="1" applyAlignment="1">
      <alignment horizontal="center" vertical="top"/>
    </xf>
    <xf numFmtId="167" fontId="0" fillId="0" borderId="0" xfId="0" applyNumberFormat="1">
      <alignment vertical="top"/>
    </xf>
    <xf numFmtId="0" fontId="3" fillId="18" borderId="0" xfId="0" applyFont="1" applyFill="1">
      <alignment vertical="top"/>
    </xf>
    <xf numFmtId="0" fontId="4" fillId="7" borderId="17" xfId="0" applyFont="1" applyFill="1" applyBorder="1">
      <alignment vertical="top"/>
    </xf>
    <xf numFmtId="0" fontId="0" fillId="18" borderId="0" xfId="0" applyFill="1" applyAlignment="1">
      <alignment horizontal="center" vertical="top"/>
    </xf>
    <xf numFmtId="0" fontId="3" fillId="12" borderId="2" xfId="0" applyFont="1" applyFill="1" applyBorder="1" applyAlignment="1"/>
    <xf numFmtId="0" fontId="0" fillId="14" borderId="0" xfId="0" applyFill="1" applyBorder="1">
      <alignment vertical="top"/>
    </xf>
    <xf numFmtId="0" fontId="0" fillId="14" borderId="21" xfId="0" applyFill="1" applyBorder="1">
      <alignment vertical="top"/>
    </xf>
    <xf numFmtId="0" fontId="0" fillId="14" borderId="23" xfId="0" applyFill="1" applyBorder="1">
      <alignment vertical="top"/>
    </xf>
    <xf numFmtId="0" fontId="0" fillId="14" borderId="20" xfId="0" applyFill="1" applyBorder="1">
      <alignment vertical="top"/>
    </xf>
    <xf numFmtId="0" fontId="0" fillId="14" borderId="45" xfId="0" applyFill="1" applyBorder="1">
      <alignment vertical="top"/>
    </xf>
    <xf numFmtId="0" fontId="0" fillId="14" borderId="30" xfId="0" applyFill="1" applyBorder="1">
      <alignment vertical="top"/>
    </xf>
    <xf numFmtId="0" fontId="0" fillId="15" borderId="45" xfId="0" applyFill="1" applyBorder="1" applyAlignment="1">
      <alignment horizontal="center" vertical="top"/>
    </xf>
    <xf numFmtId="0" fontId="0" fillId="15" borderId="30" xfId="0" applyFill="1" applyBorder="1" applyAlignment="1">
      <alignment horizontal="center" vertical="top"/>
    </xf>
    <xf numFmtId="0" fontId="6" fillId="11" borderId="24" xfId="0" applyFont="1" applyFill="1" applyBorder="1" applyAlignment="1"/>
    <xf numFmtId="0" fontId="6" fillId="11" borderId="0" xfId="0" applyFont="1" applyFill="1" applyBorder="1" applyAlignment="1"/>
    <xf numFmtId="0" fontId="6" fillId="11" borderId="3" xfId="0" applyFont="1" applyFill="1" applyBorder="1">
      <alignment vertical="top"/>
    </xf>
    <xf numFmtId="0" fontId="6" fillId="11" borderId="3" xfId="0" applyFont="1" applyFill="1" applyBorder="1" applyAlignment="1"/>
    <xf numFmtId="0" fontId="6" fillId="11" borderId="13" xfId="0" applyFont="1" applyFill="1" applyBorder="1">
      <alignment vertical="top"/>
    </xf>
    <xf numFmtId="0" fontId="0" fillId="11" borderId="52" xfId="0" applyFill="1" applyBorder="1" applyAlignment="1"/>
    <xf numFmtId="0" fontId="6" fillId="11" borderId="53" xfId="0" applyFont="1" applyFill="1" applyBorder="1" applyAlignment="1"/>
    <xf numFmtId="0" fontId="6" fillId="11" borderId="54" xfId="0" applyFont="1" applyFill="1" applyBorder="1" applyAlignment="1"/>
    <xf numFmtId="0" fontId="0" fillId="11" borderId="51" xfId="0" applyFill="1" applyBorder="1" applyAlignment="1"/>
    <xf numFmtId="165" fontId="0" fillId="11" borderId="53" xfId="0" applyNumberFormat="1" applyFill="1" applyBorder="1" applyAlignment="1"/>
    <xf numFmtId="165" fontId="0" fillId="11" borderId="54" xfId="0" applyNumberFormat="1" applyFill="1" applyBorder="1" applyAlignment="1"/>
    <xf numFmtId="165" fontId="0" fillId="11" borderId="55" xfId="0" applyNumberFormat="1" applyFill="1" applyBorder="1" applyAlignment="1">
      <alignment horizontal="center" vertical="top"/>
    </xf>
    <xf numFmtId="165" fontId="0" fillId="11" borderId="56" xfId="0" applyNumberFormat="1" applyFill="1" applyBorder="1" applyAlignment="1">
      <alignment horizontal="center" vertical="top"/>
    </xf>
    <xf numFmtId="0" fontId="0" fillId="11" borderId="53" xfId="0" applyFill="1" applyBorder="1" applyAlignment="1"/>
    <xf numFmtId="165" fontId="0" fillId="4" borderId="21" xfId="0" applyNumberFormat="1" applyFill="1" applyBorder="1" applyAlignment="1"/>
    <xf numFmtId="165" fontId="0" fillId="7" borderId="16" xfId="0" applyNumberFormat="1" applyFill="1" applyBorder="1" applyAlignment="1">
      <alignment horizontal="center" vertical="top"/>
    </xf>
    <xf numFmtId="165" fontId="0" fillId="7" borderId="17" xfId="0" applyNumberFormat="1" applyFill="1" applyBorder="1" applyAlignment="1">
      <alignment horizontal="center" vertical="top"/>
    </xf>
    <xf numFmtId="0" fontId="4" fillId="13" borderId="0" xfId="0" applyFont="1" applyFill="1" applyAlignment="1">
      <alignment vertical="top"/>
    </xf>
    <xf numFmtId="0" fontId="3" fillId="19" borderId="4" xfId="0" applyFont="1" applyFill="1" applyBorder="1" applyAlignment="1"/>
    <xf numFmtId="0" fontId="3" fillId="19" borderId="15" xfId="0" applyFont="1" applyFill="1" applyBorder="1" applyAlignment="1"/>
    <xf numFmtId="0" fontId="0" fillId="20" borderId="49" xfId="0" applyFill="1" applyBorder="1" applyAlignment="1"/>
    <xf numFmtId="0" fontId="0" fillId="20" borderId="58" xfId="0" applyFill="1" applyBorder="1" applyAlignment="1"/>
    <xf numFmtId="0" fontId="3" fillId="19" borderId="17" xfId="0" applyFont="1" applyFill="1" applyBorder="1" applyAlignment="1"/>
    <xf numFmtId="0" fontId="3" fillId="19" borderId="23" xfId="0" applyFont="1" applyFill="1" applyBorder="1" applyAlignment="1"/>
    <xf numFmtId="0" fontId="0" fillId="20" borderId="59" xfId="0" applyFill="1" applyBorder="1" applyAlignment="1"/>
    <xf numFmtId="0" fontId="0" fillId="20" borderId="48" xfId="0" applyFill="1" applyBorder="1" applyAlignment="1"/>
    <xf numFmtId="0" fontId="0" fillId="20" borderId="60" xfId="0" applyFill="1" applyBorder="1" applyAlignment="1"/>
    <xf numFmtId="0" fontId="0" fillId="20" borderId="61" xfId="0" applyFill="1" applyBorder="1" applyAlignment="1"/>
    <xf numFmtId="0" fontId="0" fillId="20" borderId="62" xfId="0" applyFill="1" applyBorder="1" applyAlignment="1"/>
    <xf numFmtId="0" fontId="0" fillId="20" borderId="23" xfId="0" applyFill="1" applyBorder="1" applyAlignment="1"/>
    <xf numFmtId="0" fontId="3" fillId="21" borderId="16" xfId="0" applyFont="1" applyFill="1" applyBorder="1" applyAlignment="1"/>
    <xf numFmtId="0" fontId="0" fillId="21" borderId="24" xfId="0" applyFill="1" applyBorder="1" applyAlignment="1">
      <alignment horizontal="center"/>
    </xf>
    <xf numFmtId="0" fontId="0" fillId="21" borderId="8" xfId="0" applyFill="1" applyBorder="1" applyAlignment="1"/>
    <xf numFmtId="0" fontId="0" fillId="21" borderId="10" xfId="0" applyFill="1" applyBorder="1" applyAlignment="1"/>
    <xf numFmtId="0" fontId="0" fillId="21" borderId="37" xfId="0" applyFill="1" applyBorder="1" applyAlignment="1"/>
    <xf numFmtId="0" fontId="3" fillId="21" borderId="16" xfId="0" applyFont="1" applyFill="1" applyBorder="1" applyAlignment="1">
      <alignment horizontal="center"/>
    </xf>
    <xf numFmtId="165" fontId="0" fillId="21" borderId="12" xfId="0" applyNumberFormat="1" applyFill="1" applyBorder="1" applyAlignment="1"/>
    <xf numFmtId="165" fontId="0" fillId="21" borderId="3" xfId="0" applyNumberFormat="1" applyFill="1" applyBorder="1" applyAlignment="1"/>
    <xf numFmtId="165" fontId="0" fillId="21" borderId="38" xfId="0" applyNumberFormat="1" applyFill="1" applyBorder="1" applyAlignment="1"/>
    <xf numFmtId="0" fontId="3" fillId="22" borderId="0" xfId="0" applyFont="1" applyFill="1" applyAlignment="1"/>
    <xf numFmtId="0" fontId="0" fillId="22" borderId="0" xfId="0" applyFill="1" applyAlignment="1"/>
    <xf numFmtId="0" fontId="4" fillId="22" borderId="0" xfId="0" applyFont="1" applyFill="1" applyAlignment="1"/>
    <xf numFmtId="0" fontId="3" fillId="22" borderId="0" xfId="0" applyFont="1" applyFill="1" applyAlignment="1">
      <alignment horizontal="left"/>
    </xf>
    <xf numFmtId="0" fontId="3" fillId="22" borderId="33" xfId="0" applyFont="1" applyFill="1" applyBorder="1" applyAlignment="1"/>
    <xf numFmtId="0" fontId="3" fillId="22" borderId="39" xfId="0" applyFont="1" applyFill="1" applyBorder="1" applyAlignment="1"/>
    <xf numFmtId="0" fontId="3" fillId="22" borderId="34" xfId="0" applyFont="1" applyFill="1" applyBorder="1" applyAlignment="1">
      <alignment horizontal="center"/>
    </xf>
    <xf numFmtId="0" fontId="3" fillId="22" borderId="35" xfId="0" applyFont="1" applyFill="1" applyBorder="1" applyAlignment="1">
      <alignment horizontal="center"/>
    </xf>
    <xf numFmtId="0" fontId="3" fillId="22" borderId="40" xfId="0" applyFont="1" applyFill="1" applyBorder="1" applyAlignment="1">
      <alignment horizontal="center"/>
    </xf>
    <xf numFmtId="0" fontId="3" fillId="22" borderId="4" xfId="0" applyFont="1" applyFill="1" applyBorder="1">
      <alignment vertical="top"/>
    </xf>
    <xf numFmtId="165" fontId="3" fillId="22" borderId="5" xfId="0" applyNumberFormat="1" applyFont="1" applyFill="1" applyBorder="1">
      <alignment vertical="top"/>
    </xf>
    <xf numFmtId="0" fontId="3" fillId="22" borderId="16" xfId="0" applyFont="1" applyFill="1" applyBorder="1">
      <alignment vertical="top"/>
    </xf>
    <xf numFmtId="165" fontId="3" fillId="22" borderId="0" xfId="0" applyNumberFormat="1" applyFont="1" applyFill="1" applyBorder="1">
      <alignment vertical="top"/>
    </xf>
    <xf numFmtId="0" fontId="3" fillId="22" borderId="17" xfId="0" applyFont="1" applyFill="1" applyBorder="1">
      <alignment vertical="top"/>
    </xf>
    <xf numFmtId="165" fontId="3" fillId="22" borderId="22" xfId="0" applyNumberFormat="1" applyFont="1" applyFill="1" applyBorder="1">
      <alignment vertical="top"/>
    </xf>
    <xf numFmtId="0" fontId="3" fillId="22" borderId="0" xfId="0" applyFont="1" applyFill="1">
      <alignment vertical="top"/>
    </xf>
    <xf numFmtId="165" fontId="0" fillId="22" borderId="0" xfId="0" applyNumberFormat="1" applyFill="1" applyAlignment="1"/>
    <xf numFmtId="0" fontId="0" fillId="20" borderId="0" xfId="0" applyFill="1" applyBorder="1" applyAlignment="1"/>
    <xf numFmtId="165" fontId="0" fillId="20" borderId="21" xfId="0" applyNumberFormat="1" applyFill="1" applyBorder="1" applyAlignment="1"/>
    <xf numFmtId="165" fontId="0" fillId="20" borderId="16" xfId="0" applyNumberFormat="1" applyFill="1" applyBorder="1" applyAlignment="1"/>
    <xf numFmtId="0" fontId="4" fillId="20" borderId="22" xfId="0" applyFont="1" applyFill="1" applyBorder="1" applyAlignment="1"/>
    <xf numFmtId="0" fontId="4" fillId="20" borderId="17" xfId="0" applyFont="1" applyFill="1" applyBorder="1" applyAlignment="1"/>
    <xf numFmtId="165" fontId="0" fillId="20" borderId="23" xfId="0" applyNumberFormat="1" applyFill="1" applyBorder="1" applyAlignment="1"/>
    <xf numFmtId="0" fontId="0" fillId="19" borderId="4" xfId="0" applyFill="1" applyBorder="1" applyAlignment="1"/>
    <xf numFmtId="0" fontId="0" fillId="19" borderId="5" xfId="0" applyFill="1" applyBorder="1" applyAlignment="1"/>
    <xf numFmtId="0" fontId="0" fillId="19" borderId="15" xfId="0" applyFill="1" applyBorder="1" applyAlignment="1"/>
    <xf numFmtId="0" fontId="3" fillId="19" borderId="47" xfId="0" applyFont="1" applyFill="1" applyBorder="1" applyAlignment="1"/>
    <xf numFmtId="0" fontId="3" fillId="19" borderId="48" xfId="0" applyFont="1" applyFill="1" applyBorder="1" applyAlignment="1"/>
    <xf numFmtId="0" fontId="3" fillId="19" borderId="49" xfId="0" applyFont="1" applyFill="1" applyBorder="1" applyAlignment="1"/>
    <xf numFmtId="0" fontId="3" fillId="19" borderId="26" xfId="0" applyFont="1" applyFill="1" applyBorder="1" applyAlignment="1"/>
    <xf numFmtId="0" fontId="3" fillId="23" borderId="63" xfId="0" applyFont="1" applyFill="1" applyBorder="1" applyAlignment="1"/>
    <xf numFmtId="0" fontId="0" fillId="23" borderId="8" xfId="0" applyFill="1" applyBorder="1" applyAlignment="1">
      <alignment horizontal="center"/>
    </xf>
    <xf numFmtId="165" fontId="0" fillId="23" borderId="8" xfId="0" applyNumberFormat="1" applyFill="1" applyBorder="1" applyAlignment="1"/>
    <xf numFmtId="165" fontId="0" fillId="23" borderId="10" xfId="0" applyNumberFormat="1" applyFill="1" applyBorder="1" applyAlignment="1"/>
    <xf numFmtId="165" fontId="0" fillId="23" borderId="37" xfId="0" applyNumberFormat="1" applyFill="1" applyBorder="1" applyAlignment="1"/>
    <xf numFmtId="0" fontId="3" fillId="23" borderId="57" xfId="0" applyFont="1" applyFill="1" applyBorder="1" applyAlignment="1">
      <alignment horizontal="center"/>
    </xf>
    <xf numFmtId="0" fontId="4" fillId="23" borderId="12" xfId="0" applyFont="1" applyFill="1" applyBorder="1" applyAlignment="1">
      <alignment horizontal="center"/>
    </xf>
    <xf numFmtId="2" fontId="0" fillId="23" borderId="12" xfId="0" applyNumberFormat="1" applyFill="1" applyBorder="1" applyAlignment="1"/>
    <xf numFmtId="2" fontId="0" fillId="23" borderId="3" xfId="0" applyNumberFormat="1" applyFill="1" applyBorder="1" applyAlignment="1"/>
    <xf numFmtId="2" fontId="0" fillId="23" borderId="38" xfId="0" applyNumberFormat="1" applyFill="1" applyBorder="1" applyAlignment="1"/>
    <xf numFmtId="0" fontId="3" fillId="23" borderId="17" xfId="0" applyFont="1" applyFill="1" applyBorder="1" applyAlignment="1"/>
    <xf numFmtId="0" fontId="0" fillId="23" borderId="50" xfId="0" applyFill="1" applyBorder="1" applyAlignment="1">
      <alignment horizontal="center"/>
    </xf>
    <xf numFmtId="2" fontId="0" fillId="23" borderId="46" xfId="0" applyNumberFormat="1" applyFill="1" applyBorder="1" applyAlignment="1"/>
    <xf numFmtId="2" fontId="0" fillId="23" borderId="40" xfId="0" applyNumberFormat="1" applyFill="1" applyBorder="1" applyAlignment="1"/>
    <xf numFmtId="2" fontId="0" fillId="23" borderId="41" xfId="0" applyNumberFormat="1" applyFill="1" applyBorder="1" applyAlignment="1"/>
    <xf numFmtId="0" fontId="3" fillId="24" borderId="33" xfId="0" applyFont="1" applyFill="1" applyBorder="1" applyAlignment="1"/>
    <xf numFmtId="0" fontId="0" fillId="24" borderId="34" xfId="0" applyFill="1" applyBorder="1" applyAlignment="1"/>
    <xf numFmtId="0" fontId="0" fillId="24" borderId="35" xfId="0" applyFill="1" applyBorder="1" applyAlignment="1"/>
    <xf numFmtId="0" fontId="3" fillId="24" borderId="39" xfId="0" applyFont="1" applyFill="1" applyBorder="1" applyAlignment="1"/>
    <xf numFmtId="0" fontId="0" fillId="24" borderId="40" xfId="0" applyFill="1" applyBorder="1" applyAlignment="1"/>
    <xf numFmtId="0" fontId="0" fillId="24" borderId="41" xfId="0" applyFill="1" applyBorder="1" applyAlignment="1"/>
    <xf numFmtId="0" fontId="3" fillId="20" borderId="41" xfId="0" applyFont="1" applyFill="1" applyBorder="1" applyAlignment="1">
      <alignment horizontal="center"/>
    </xf>
    <xf numFmtId="0" fontId="4" fillId="7" borderId="0" xfId="0" applyFont="1" applyFill="1" applyBorder="1">
      <alignment vertical="top"/>
    </xf>
    <xf numFmtId="0" fontId="3" fillId="17" borderId="4" xfId="0" applyFont="1" applyFill="1" applyBorder="1" applyAlignment="1">
      <alignment horizontal="left"/>
    </xf>
    <xf numFmtId="0" fontId="0" fillId="17" borderId="5" xfId="0" applyFill="1" applyBorder="1" applyAlignment="1">
      <alignment horizontal="left"/>
    </xf>
    <xf numFmtId="0" fontId="0" fillId="16" borderId="5" xfId="0" applyFill="1" applyBorder="1" applyAlignment="1">
      <alignment horizontal="left" vertical="top"/>
    </xf>
    <xf numFmtId="0" fontId="3" fillId="19" borderId="17" xfId="0" applyFont="1" applyFill="1" applyBorder="1" applyAlignment="1">
      <alignment horizontal="left"/>
    </xf>
    <xf numFmtId="0" fontId="3" fillId="19" borderId="22" xfId="0" applyFont="1" applyFill="1" applyBorder="1" applyAlignment="1">
      <alignment horizontal="left"/>
    </xf>
    <xf numFmtId="0" fontId="0" fillId="19" borderId="22" xfId="0" applyFill="1" applyBorder="1" applyAlignment="1">
      <alignment horizontal="left"/>
    </xf>
    <xf numFmtId="0" fontId="0" fillId="17" borderId="15" xfId="0" applyFill="1" applyBorder="1" applyAlignment="1">
      <alignment horizontal="left"/>
    </xf>
    <xf numFmtId="0" fontId="0" fillId="19" borderId="23" xfId="0" applyFill="1" applyBorder="1" applyAlignment="1">
      <alignment horizontal="left"/>
    </xf>
    <xf numFmtId="165" fontId="10" fillId="0" borderId="0" xfId="0" applyNumberFormat="1" applyFont="1" applyBorder="1" applyAlignment="1"/>
    <xf numFmtId="0" fontId="3" fillId="7" borderId="16" xfId="0" applyFont="1" applyFill="1" applyBorder="1" applyAlignment="1">
      <alignment vertical="top"/>
    </xf>
    <xf numFmtId="2" fontId="0" fillId="0" borderId="0" xfId="0" applyNumberFormat="1" applyAlignment="1"/>
    <xf numFmtId="0" fontId="0" fillId="0" borderId="26" xfId="0" applyFill="1" applyBorder="1" applyAlignment="1"/>
    <xf numFmtId="0" fontId="3" fillId="15" borderId="2" xfId="0" applyFont="1" applyFill="1" applyBorder="1" applyAlignment="1"/>
    <xf numFmtId="0" fontId="4" fillId="15" borderId="2" xfId="0" applyFont="1" applyFill="1" applyBorder="1" applyAlignment="1"/>
    <xf numFmtId="0" fontId="4" fillId="25" borderId="2" xfId="0" applyFont="1" applyFill="1" applyBorder="1" applyAlignment="1"/>
    <xf numFmtId="0" fontId="0" fillId="25" borderId="2" xfId="0" applyFill="1" applyBorder="1" applyAlignment="1"/>
    <xf numFmtId="0" fontId="15" fillId="3" borderId="15" xfId="0" applyFont="1" applyFill="1" applyBorder="1" applyAlignment="1">
      <alignment horizontal="center"/>
    </xf>
    <xf numFmtId="0" fontId="15" fillId="3" borderId="23" xfId="0" applyFont="1" applyFill="1" applyBorder="1" applyAlignment="1">
      <alignment horizontal="center"/>
    </xf>
    <xf numFmtId="0" fontId="15" fillId="3" borderId="27" xfId="0" applyFont="1" applyFill="1" applyBorder="1" applyAlignment="1">
      <alignment horizontal="center"/>
    </xf>
    <xf numFmtId="0" fontId="15" fillId="3" borderId="30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15" fillId="3" borderId="21" xfId="0" applyFont="1" applyFill="1" applyBorder="1" applyAlignment="1"/>
    <xf numFmtId="0" fontId="4" fillId="25" borderId="0" xfId="0" applyFont="1" applyFill="1" applyBorder="1" applyAlignment="1"/>
    <xf numFmtId="0" fontId="0" fillId="25" borderId="0" xfId="0" applyFill="1" applyBorder="1" applyAlignment="1"/>
    <xf numFmtId="167" fontId="0" fillId="0" borderId="0" xfId="0" applyNumberFormat="1" applyBorder="1" applyAlignment="1"/>
    <xf numFmtId="165" fontId="0" fillId="0" borderId="0" xfId="0" applyNumberFormat="1" applyBorder="1" applyAlignment="1"/>
    <xf numFmtId="0" fontId="22" fillId="11" borderId="0" xfId="0" applyFont="1" applyFill="1" applyAlignment="1"/>
    <xf numFmtId="0" fontId="4" fillId="22" borderId="2" xfId="0" applyFont="1" applyFill="1" applyBorder="1" applyAlignment="1"/>
    <xf numFmtId="0" fontId="0" fillId="22" borderId="2" xfId="0" applyFill="1" applyBorder="1" applyAlignment="1">
      <alignment horizontal="center"/>
    </xf>
    <xf numFmtId="0" fontId="4" fillId="22" borderId="2" xfId="0" applyFont="1" applyFill="1" applyBorder="1" applyAlignment="1">
      <alignment horizontal="center"/>
    </xf>
    <xf numFmtId="0" fontId="0" fillId="22" borderId="2" xfId="0" applyFill="1" applyBorder="1" applyAlignment="1"/>
    <xf numFmtId="0" fontId="3" fillId="25" borderId="4" xfId="0" applyFont="1" applyFill="1" applyBorder="1" applyAlignment="1"/>
    <xf numFmtId="0" fontId="3" fillId="15" borderId="5" xfId="0" applyFont="1" applyFill="1" applyBorder="1" applyAlignment="1"/>
    <xf numFmtId="0" fontId="0" fillId="15" borderId="5" xfId="0" applyFill="1" applyBorder="1" applyAlignment="1"/>
    <xf numFmtId="0" fontId="0" fillId="15" borderId="15" xfId="0" applyFill="1" applyBorder="1" applyAlignment="1"/>
    <xf numFmtId="0" fontId="0" fillId="0" borderId="22" xfId="0" applyBorder="1" applyAlignment="1"/>
    <xf numFmtId="0" fontId="0" fillId="0" borderId="23" xfId="0" applyBorder="1" applyAlignment="1"/>
    <xf numFmtId="0" fontId="4" fillId="25" borderId="22" xfId="0" applyFont="1" applyFill="1" applyBorder="1" applyAlignment="1"/>
    <xf numFmtId="0" fontId="4" fillId="25" borderId="23" xfId="0" applyFont="1" applyFill="1" applyBorder="1" applyAlignment="1"/>
    <xf numFmtId="0" fontId="4" fillId="11" borderId="6" xfId="0" applyFont="1" applyFill="1" applyBorder="1" applyAlignment="1"/>
    <xf numFmtId="0" fontId="0" fillId="11" borderId="7" xfId="0" applyFill="1" applyBorder="1" applyAlignment="1"/>
    <xf numFmtId="165" fontId="0" fillId="15" borderId="7" xfId="0" applyNumberFormat="1" applyFill="1" applyBorder="1" applyAlignment="1"/>
    <xf numFmtId="0" fontId="0" fillId="11" borderId="8" xfId="0" applyFill="1" applyBorder="1" applyAlignment="1"/>
    <xf numFmtId="0" fontId="0" fillId="10" borderId="11" xfId="0" applyFill="1" applyBorder="1" applyAlignment="1"/>
    <xf numFmtId="0" fontId="0" fillId="10" borderId="13" xfId="0" applyFill="1" applyBorder="1" applyAlignment="1"/>
    <xf numFmtId="0" fontId="0" fillId="10" borderId="12" xfId="0" applyFill="1" applyBorder="1" applyAlignment="1"/>
    <xf numFmtId="0" fontId="3" fillId="0" borderId="18" xfId="0" applyFont="1" applyBorder="1" applyAlignment="1">
      <alignment horizontal="center"/>
    </xf>
    <xf numFmtId="0" fontId="3" fillId="24" borderId="19" xfId="0" applyFont="1" applyFill="1" applyBorder="1" applyAlignment="1">
      <alignment horizontal="left"/>
    </xf>
    <xf numFmtId="0" fontId="3" fillId="24" borderId="19" xfId="0" applyFont="1" applyFill="1" applyBorder="1" applyAlignment="1">
      <alignment horizontal="center"/>
    </xf>
    <xf numFmtId="0" fontId="3" fillId="24" borderId="20" xfId="0" applyFont="1" applyFill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0" fillId="0" borderId="19" xfId="0" applyBorder="1" applyAlignment="1"/>
    <xf numFmtId="0" fontId="0" fillId="0" borderId="0" xfId="0" applyAlignment="1">
      <alignment horizontal="left"/>
    </xf>
    <xf numFmtId="0" fontId="0" fillId="0" borderId="4" xfId="0" applyBorder="1" applyAlignment="1"/>
    <xf numFmtId="0" fontId="0" fillId="0" borderId="5" xfId="0" applyBorder="1" applyAlignment="1"/>
    <xf numFmtId="2" fontId="0" fillId="24" borderId="5" xfId="0" applyNumberFormat="1" applyFill="1" applyBorder="1" applyAlignment="1"/>
    <xf numFmtId="2" fontId="0" fillId="0" borderId="15" xfId="0" applyNumberFormat="1" applyBorder="1" applyAlignment="1"/>
    <xf numFmtId="0" fontId="0" fillId="0" borderId="16" xfId="0" applyBorder="1" applyAlignment="1"/>
    <xf numFmtId="2" fontId="0" fillId="24" borderId="0" xfId="0" applyNumberFormat="1" applyFill="1" applyBorder="1" applyAlignment="1"/>
    <xf numFmtId="2" fontId="0" fillId="0" borderId="21" xfId="0" applyNumberFormat="1" applyBorder="1" applyAlignment="1"/>
    <xf numFmtId="0" fontId="4" fillId="0" borderId="17" xfId="0" applyFont="1" applyBorder="1" applyAlignment="1"/>
    <xf numFmtId="2" fontId="0" fillId="24" borderId="22" xfId="0" applyNumberFormat="1" applyFill="1" applyBorder="1" applyAlignment="1"/>
    <xf numFmtId="2" fontId="4" fillId="0" borderId="23" xfId="0" applyNumberFormat="1" applyFont="1" applyBorder="1" applyAlignment="1"/>
    <xf numFmtId="0" fontId="4" fillId="0" borderId="4" xfId="0" applyFont="1" applyBorder="1" applyAlignment="1"/>
    <xf numFmtId="0" fontId="0" fillId="0" borderId="15" xfId="0" applyBorder="1" applyAlignment="1"/>
    <xf numFmtId="0" fontId="0" fillId="0" borderId="21" xfId="0" applyBorder="1" applyAlignment="1"/>
    <xf numFmtId="0" fontId="3" fillId="0" borderId="16" xfId="0" applyFont="1" applyBorder="1" applyAlignment="1"/>
    <xf numFmtId="0" fontId="3" fillId="0" borderId="0" xfId="0" applyFont="1" applyBorder="1" applyAlignment="1">
      <alignment horizontal="center"/>
    </xf>
    <xf numFmtId="165" fontId="0" fillId="24" borderId="0" xfId="0" applyNumberFormat="1" applyFill="1" applyBorder="1" applyAlignment="1"/>
    <xf numFmtId="0" fontId="0" fillId="0" borderId="17" xfId="0" applyBorder="1" applyAlignment="1"/>
    <xf numFmtId="0" fontId="3" fillId="0" borderId="4" xfId="0" applyFont="1" applyBorder="1" applyAlignment="1"/>
    <xf numFmtId="0" fontId="4" fillId="0" borderId="16" xfId="0" applyFont="1" applyFill="1" applyBorder="1" applyAlignment="1"/>
    <xf numFmtId="0" fontId="0" fillId="24" borderId="0" xfId="0" applyFill="1" applyBorder="1" applyAlignment="1"/>
    <xf numFmtId="0" fontId="0" fillId="0" borderId="21" xfId="0" applyFill="1" applyBorder="1" applyAlignment="1"/>
    <xf numFmtId="0" fontId="4" fillId="0" borderId="17" xfId="0" applyFont="1" applyFill="1" applyBorder="1" applyAlignment="1"/>
    <xf numFmtId="0" fontId="0" fillId="0" borderId="22" xfId="0" applyFill="1" applyBorder="1" applyAlignment="1"/>
    <xf numFmtId="167" fontId="0" fillId="24" borderId="22" xfId="0" applyNumberFormat="1" applyFill="1" applyBorder="1" applyAlignment="1"/>
    <xf numFmtId="0" fontId="0" fillId="0" borderId="23" xfId="0" applyFill="1" applyBorder="1" applyAlignment="1"/>
    <xf numFmtId="0" fontId="3" fillId="0" borderId="4" xfId="0" applyFont="1" applyFill="1" applyBorder="1" applyAlignment="1"/>
    <xf numFmtId="0" fontId="0" fillId="0" borderId="5" xfId="0" applyFill="1" applyBorder="1" applyAlignment="1"/>
    <xf numFmtId="0" fontId="0" fillId="0" borderId="15" xfId="0" applyFill="1" applyBorder="1" applyAlignment="1"/>
    <xf numFmtId="0" fontId="0" fillId="0" borderId="16" xfId="0" applyFill="1" applyBorder="1" applyAlignment="1"/>
    <xf numFmtId="0" fontId="2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65" fontId="4" fillId="24" borderId="0" xfId="0" applyNumberFormat="1" applyFont="1" applyFill="1" applyBorder="1" applyAlignment="1"/>
    <xf numFmtId="169" fontId="0" fillId="24" borderId="0" xfId="0" applyNumberFormat="1" applyFill="1" applyBorder="1" applyAlignment="1"/>
    <xf numFmtId="170" fontId="0" fillId="24" borderId="0" xfId="0" applyNumberFormat="1" applyFill="1" applyBorder="1" applyAlignment="1"/>
    <xf numFmtId="0" fontId="4" fillId="0" borderId="0" xfId="0" applyFont="1" applyFill="1" applyBorder="1" applyAlignment="1"/>
    <xf numFmtId="0" fontId="0" fillId="0" borderId="17" xfId="0" applyFill="1" applyBorder="1" applyAlignment="1"/>
    <xf numFmtId="0" fontId="4" fillId="0" borderId="22" xfId="0" applyFont="1" applyFill="1" applyBorder="1" applyAlignment="1"/>
    <xf numFmtId="170" fontId="0" fillId="24" borderId="22" xfId="0" applyNumberFormat="1" applyFill="1" applyBorder="1" applyAlignment="1"/>
    <xf numFmtId="1" fontId="3" fillId="0" borderId="22" xfId="0" applyNumberFormat="1" applyFont="1" applyFill="1" applyBorder="1" applyAlignment="1"/>
    <xf numFmtId="0" fontId="3" fillId="0" borderId="23" xfId="0" applyFont="1" applyFill="1" applyBorder="1" applyAlignment="1"/>
    <xf numFmtId="0" fontId="3" fillId="0" borderId="5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4" xfId="0" applyFont="1" applyFill="1" applyBorder="1">
      <alignment vertical="top"/>
    </xf>
    <xf numFmtId="0" fontId="3" fillId="0" borderId="16" xfId="0" applyFont="1" applyFill="1" applyBorder="1">
      <alignment vertical="top"/>
    </xf>
    <xf numFmtId="0" fontId="3" fillId="0" borderId="17" xfId="0" applyFont="1" applyFill="1" applyBorder="1">
      <alignment vertical="top"/>
    </xf>
    <xf numFmtId="0" fontId="3" fillId="0" borderId="5" xfId="0" applyFont="1" applyFill="1" applyBorder="1" applyAlignment="1"/>
    <xf numFmtId="0" fontId="0" fillId="0" borderId="15" xfId="0" applyFill="1" applyBorder="1">
      <alignment vertical="top"/>
    </xf>
    <xf numFmtId="0" fontId="3" fillId="0" borderId="15" xfId="0" applyFont="1" applyFill="1" applyBorder="1">
      <alignment vertical="top"/>
    </xf>
    <xf numFmtId="0" fontId="3" fillId="0" borderId="4" xfId="0" applyFont="1" applyFill="1" applyBorder="1" applyAlignment="1">
      <alignment horizontal="left" vertical="top"/>
    </xf>
    <xf numFmtId="0" fontId="4" fillId="0" borderId="36" xfId="0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0" fillId="0" borderId="33" xfId="0" applyFill="1" applyBorder="1" applyAlignment="1"/>
    <xf numFmtId="165" fontId="0" fillId="24" borderId="34" xfId="0" applyNumberFormat="1" applyFill="1" applyBorder="1" applyAlignment="1">
      <alignment horizontal="center" vertical="top"/>
    </xf>
    <xf numFmtId="167" fontId="0" fillId="24" borderId="34" xfId="0" applyNumberFormat="1" applyFill="1" applyBorder="1" applyAlignment="1">
      <alignment horizontal="center" vertical="top"/>
    </xf>
    <xf numFmtId="0" fontId="0" fillId="0" borderId="39" xfId="0" applyFill="1" applyBorder="1">
      <alignment vertical="top"/>
    </xf>
    <xf numFmtId="0" fontId="4" fillId="0" borderId="0" xfId="0" applyFont="1" applyFill="1" applyBorder="1">
      <alignment vertical="top"/>
    </xf>
    <xf numFmtId="0" fontId="0" fillId="24" borderId="0" xfId="0" applyFill="1" applyBorder="1">
      <alignment vertical="top"/>
    </xf>
    <xf numFmtId="0" fontId="3" fillId="0" borderId="5" xfId="0" applyFont="1" applyFill="1" applyBorder="1" applyAlignment="1">
      <alignment vertical="top"/>
    </xf>
    <xf numFmtId="0" fontId="3" fillId="25" borderId="22" xfId="0" applyFont="1" applyFill="1" applyBorder="1" applyAlignment="1"/>
    <xf numFmtId="0" fontId="3" fillId="25" borderId="17" xfId="0" applyFont="1" applyFill="1" applyBorder="1" applyAlignment="1"/>
    <xf numFmtId="0" fontId="5" fillId="4" borderId="0" xfId="0" applyFont="1" applyFill="1" applyBorder="1" applyAlignment="1"/>
    <xf numFmtId="0" fontId="7" fillId="4" borderId="5" xfId="0" applyFont="1" applyFill="1" applyBorder="1" applyAlignment="1"/>
    <xf numFmtId="0" fontId="3" fillId="12" borderId="7" xfId="0" applyFont="1" applyFill="1" applyBorder="1" applyAlignment="1"/>
    <xf numFmtId="0" fontId="3" fillId="12" borderId="0" xfId="0" applyFont="1" applyFill="1" applyBorder="1" applyAlignment="1"/>
    <xf numFmtId="0" fontId="0" fillId="10" borderId="7" xfId="0" applyFill="1" applyBorder="1" applyAlignment="1">
      <alignment horizontal="center"/>
    </xf>
    <xf numFmtId="0" fontId="0" fillId="10" borderId="0" xfId="0" applyFill="1" applyBorder="1" applyAlignment="1">
      <alignment horizontal="center"/>
    </xf>
    <xf numFmtId="0" fontId="24" fillId="4" borderId="0" xfId="0" applyFont="1" applyFill="1" applyAlignment="1"/>
    <xf numFmtId="0" fontId="0" fillId="12" borderId="0" xfId="0" applyFill="1" applyAlignment="1"/>
    <xf numFmtId="0" fontId="0" fillId="2" borderId="0" xfId="0" applyFill="1" applyBorder="1" applyAlignment="1"/>
    <xf numFmtId="0" fontId="0" fillId="2" borderId="13" xfId="0" applyFill="1" applyBorder="1" applyAlignment="1"/>
    <xf numFmtId="0" fontId="4" fillId="0" borderId="16" xfId="0" applyFont="1" applyBorder="1" applyAlignment="1"/>
    <xf numFmtId="0" fontId="3" fillId="11" borderId="18" xfId="0" applyFont="1" applyFill="1" applyBorder="1" applyAlignment="1"/>
    <xf numFmtId="165" fontId="3" fillId="11" borderId="19" xfId="0" applyNumberFormat="1" applyFont="1" applyFill="1" applyBorder="1" applyAlignment="1"/>
    <xf numFmtId="0" fontId="3" fillId="11" borderId="20" xfId="0" applyFont="1" applyFill="1" applyBorder="1" applyAlignment="1"/>
    <xf numFmtId="0" fontId="0" fillId="8" borderId="34" xfId="0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8" borderId="40" xfId="0" applyFill="1" applyBorder="1" applyAlignment="1">
      <alignment horizontal="center" vertical="top"/>
    </xf>
    <xf numFmtId="0" fontId="0" fillId="14" borderId="4" xfId="0" applyFill="1" applyBorder="1" applyAlignment="1">
      <alignment horizontal="center" vertical="top"/>
    </xf>
    <xf numFmtId="0" fontId="0" fillId="7" borderId="5" xfId="0" applyFill="1" applyBorder="1" applyAlignment="1">
      <alignment horizontal="center" vertical="top"/>
    </xf>
    <xf numFmtId="0" fontId="4" fillId="14" borderId="4" xfId="0" applyFont="1" applyFill="1" applyBorder="1" applyAlignment="1">
      <alignment horizontal="center" vertical="top"/>
    </xf>
    <xf numFmtId="0" fontId="0" fillId="7" borderId="15" xfId="0" applyFill="1" applyBorder="1" applyAlignment="1">
      <alignment horizontal="center" vertical="top"/>
    </xf>
    <xf numFmtId="0" fontId="0" fillId="14" borderId="5" xfId="0" applyFill="1" applyBorder="1" applyAlignment="1">
      <alignment horizontal="center" vertical="top"/>
    </xf>
    <xf numFmtId="0" fontId="0" fillId="17" borderId="57" xfId="0" applyFill="1" applyBorder="1" applyAlignment="1"/>
    <xf numFmtId="0" fontId="3" fillId="17" borderId="12" xfId="0" applyFont="1" applyFill="1" applyBorder="1" applyAlignment="1">
      <alignment horizontal="center"/>
    </xf>
    <xf numFmtId="0" fontId="3" fillId="17" borderId="12" xfId="0" applyFont="1" applyFill="1" applyBorder="1" applyAlignment="1"/>
    <xf numFmtId="0" fontId="3" fillId="17" borderId="3" xfId="0" applyFont="1" applyFill="1" applyBorder="1" applyAlignment="1"/>
    <xf numFmtId="0" fontId="3" fillId="17" borderId="38" xfId="0" applyFont="1" applyFill="1" applyBorder="1" applyAlignment="1"/>
    <xf numFmtId="0" fontId="3" fillId="17" borderId="30" xfId="0" applyFont="1" applyFill="1" applyBorder="1" applyAlignment="1"/>
    <xf numFmtId="0" fontId="0" fillId="21" borderId="3" xfId="0" applyFill="1" applyBorder="1" applyAlignment="1"/>
    <xf numFmtId="0" fontId="0" fillId="0" borderId="3" xfId="0" applyBorder="1" applyAlignment="1"/>
    <xf numFmtId="165" fontId="0" fillId="21" borderId="2" xfId="0" applyNumberFormat="1" applyFill="1" applyBorder="1" applyAlignment="1"/>
    <xf numFmtId="0" fontId="0" fillId="0" borderId="2" xfId="0" applyBorder="1" applyAlignment="1"/>
    <xf numFmtId="166" fontId="0" fillId="23" borderId="40" xfId="0" applyNumberFormat="1" applyFill="1" applyBorder="1" applyAlignment="1"/>
    <xf numFmtId="165" fontId="4" fillId="20" borderId="16" xfId="0" applyNumberFormat="1" applyFont="1" applyFill="1" applyBorder="1" applyAlignment="1"/>
    <xf numFmtId="165" fontId="3" fillId="22" borderId="21" xfId="0" applyNumberFormat="1" applyFont="1" applyFill="1" applyBorder="1">
      <alignment vertical="top"/>
    </xf>
    <xf numFmtId="165" fontId="3" fillId="22" borderId="23" xfId="0" applyNumberFormat="1" applyFont="1" applyFill="1" applyBorder="1">
      <alignment vertical="top"/>
    </xf>
    <xf numFmtId="0" fontId="4" fillId="0" borderId="22" xfId="0" applyFont="1" applyFill="1" applyBorder="1">
      <alignment vertical="top"/>
    </xf>
    <xf numFmtId="0" fontId="0" fillId="24" borderId="22" xfId="0" applyFill="1" applyBorder="1">
      <alignment vertical="top"/>
    </xf>
    <xf numFmtId="0" fontId="6" fillId="4" borderId="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/>
    <xf numFmtId="0" fontId="0" fillId="10" borderId="13" xfId="0" applyFill="1" applyBorder="1" applyAlignment="1">
      <alignment horizontal="center"/>
    </xf>
    <xf numFmtId="0" fontId="3" fillId="12" borderId="6" xfId="0" applyFont="1" applyFill="1" applyBorder="1" applyAlignment="1"/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12" borderId="9" xfId="0" applyFont="1" applyFill="1" applyBorder="1" applyAlignment="1"/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3" fillId="12" borderId="11" xfId="0" applyFont="1" applyFill="1" applyBorder="1" applyAlignment="1"/>
    <xf numFmtId="0" fontId="0" fillId="2" borderId="1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12" borderId="0" xfId="0" applyFill="1" applyBorder="1" applyAlignment="1"/>
    <xf numFmtId="0" fontId="5" fillId="4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justify" vertical="top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/>
    </xf>
    <xf numFmtId="0" fontId="3" fillId="17" borderId="19" xfId="0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8">
    <cellStyle name="Encabezado 1" xfId="1" xr:uid="{00000000-0005-0000-0000-000000000000}"/>
    <cellStyle name="Encabezado 2" xfId="2" xr:uid="{00000000-0005-0000-0000-000001000000}"/>
    <cellStyle name="Fecha" xfId="3" xr:uid="{00000000-0005-0000-0000-000002000000}"/>
    <cellStyle name="Fijo" xfId="4" xr:uid="{00000000-0005-0000-0000-000003000000}"/>
    <cellStyle name="Moneda0" xfId="5" xr:uid="{00000000-0005-0000-0000-000004000000}"/>
    <cellStyle name="Normal" xfId="0" builtinId="0"/>
    <cellStyle name="Punto0" xfId="6" xr:uid="{00000000-0005-0000-0000-000006000000}"/>
    <cellStyle name="Total" xfId="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CC"/>
      <color rgb="FFFBF6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Balance Térmico de Verano</a:t>
            </a:r>
          </a:p>
        </c:rich>
      </c:tx>
      <c:layout>
        <c:manualLayout>
          <c:xMode val="edge"/>
          <c:yMode val="edge"/>
          <c:x val="0.21036585365853658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45121951219512"/>
          <c:y val="0.21555602334206456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enfriamiento'!$B$271:$I$271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52FC-450A-AA8D-696B0FD047B6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enfriamiento'!$B$272:$I$272</c:f>
              <c:numCache>
                <c:formatCode>0.0</c:formatCode>
                <c:ptCount val="8"/>
                <c:pt idx="0">
                  <c:v>5574.4714999999997</c:v>
                </c:pt>
                <c:pt idx="1">
                  <c:v>6678.45</c:v>
                </c:pt>
                <c:pt idx="2">
                  <c:v>5806.8064127999987</c:v>
                </c:pt>
                <c:pt idx="3">
                  <c:v>5220.8206511999997</c:v>
                </c:pt>
                <c:pt idx="4">
                  <c:v>2495.69233481736</c:v>
                </c:pt>
                <c:pt idx="5">
                  <c:v>9700.7760000000017</c:v>
                </c:pt>
                <c:pt idx="6">
                  <c:v>2160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C-450A-AA8D-696B0FD047B6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41-4254-B2E2-6E456CC36E34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1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41-4254-B2E2-6E456CC36E34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41-4254-B2E2-6E456CC36E34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41-4254-B2E2-6E456CC36E34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941-4254-B2E2-6E456CC36E34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941-4254-B2E2-6E456CC36E34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941-4254-B2E2-6E456CC36E34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11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941-4254-B2E2-6E456CC36E34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enfriamiento'!$B$273:$I$273</c:f>
              <c:numCache>
                <c:formatCode>0.0%</c:formatCode>
                <c:ptCount val="8"/>
                <c:pt idx="0">
                  <c:v>0.11677950197055673</c:v>
                </c:pt>
                <c:pt idx="1">
                  <c:v>0.13990672746918961</c:v>
                </c:pt>
                <c:pt idx="2">
                  <c:v>0.12164668182915975</c:v>
                </c:pt>
                <c:pt idx="3">
                  <c:v>0.10937087677723954</c:v>
                </c:pt>
                <c:pt idx="4">
                  <c:v>5.2282213288148881E-2</c:v>
                </c:pt>
                <c:pt idx="5">
                  <c:v>0.2032213798219131</c:v>
                </c:pt>
                <c:pt idx="6">
                  <c:v>4.5249800677320269E-2</c:v>
                </c:pt>
                <c:pt idx="7">
                  <c:v>0.21154281816647225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FC-450A-AA8D-696B0FD047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3730176"/>
        <c:axId val="144877248"/>
      </c:barChart>
      <c:catAx>
        <c:axId val="14373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487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877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2.4390243902439025E-2"/>
              <c:y val="0.268889588801399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3730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Temperatura del aire interior</a:t>
            </a:r>
          </a:p>
        </c:rich>
      </c:tx>
      <c:layout>
        <c:manualLayout>
          <c:xMode val="edge"/>
          <c:yMode val="edge"/>
          <c:x val="0.2494279176201373"/>
          <c:y val="3.6423841059602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5308924485126"/>
          <c:y val="0.15894039735099338"/>
          <c:w val="0.6527073004763293"/>
          <c:h val="0.56146294797262497"/>
        </c:manualLayout>
      </c:layout>
      <c:lineChart>
        <c:grouping val="standard"/>
        <c:varyColors val="0"/>
        <c:ser>
          <c:idx val="0"/>
          <c:order val="0"/>
          <c:tx>
            <c:strRef>
              <c:f>'Masa Térmica'!$G$24</c:f>
              <c:strCache>
                <c:ptCount val="1"/>
                <c:pt idx="0">
                  <c:v>Temp. Ext.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Térmica'!$G$26:$G$37</c:f>
              <c:numCache>
                <c:formatCode>0.0</c:formatCode>
                <c:ptCount val="12"/>
                <c:pt idx="0">
                  <c:v>23.9908</c:v>
                </c:pt>
                <c:pt idx="1">
                  <c:v>22.6296</c:v>
                </c:pt>
                <c:pt idx="2">
                  <c:v>21.2684</c:v>
                </c:pt>
                <c:pt idx="3">
                  <c:v>20.350000000000001</c:v>
                </c:pt>
                <c:pt idx="4">
                  <c:v>22.170400000000001</c:v>
                </c:pt>
                <c:pt idx="5">
                  <c:v>29.911200000000001</c:v>
                </c:pt>
                <c:pt idx="6">
                  <c:v>34.470399999999998</c:v>
                </c:pt>
                <c:pt idx="7">
                  <c:v>36.75</c:v>
                </c:pt>
                <c:pt idx="8">
                  <c:v>35.388800000000003</c:v>
                </c:pt>
                <c:pt idx="9">
                  <c:v>31.7316</c:v>
                </c:pt>
                <c:pt idx="10">
                  <c:v>27.631599999999999</c:v>
                </c:pt>
                <c:pt idx="11">
                  <c:v>25.4176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9-4285-BA9C-A0C8AD48B0FB}"/>
            </c:ext>
          </c:extLst>
        </c:ser>
        <c:ser>
          <c:idx val="1"/>
          <c:order val="1"/>
          <c:tx>
            <c:strRef>
              <c:f>'Masa Térmica'!$I$24</c:f>
              <c:strCache>
                <c:ptCount val="1"/>
                <c:pt idx="0">
                  <c:v>Temp. Int.(**)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'Masa Térmica'!$F$26:$F$37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</c:numCache>
            </c:numRef>
          </c:cat>
          <c:val>
            <c:numRef>
              <c:f>'Masa Térmica'!$I$26:$I$37</c:f>
              <c:numCache>
                <c:formatCode>0.0</c:formatCode>
                <c:ptCount val="12"/>
                <c:pt idx="0">
                  <c:v>27.866047687994094</c:v>
                </c:pt>
                <c:pt idx="1">
                  <c:v>26.87501654422789</c:v>
                </c:pt>
                <c:pt idx="2">
                  <c:v>25.144574331743812</c:v>
                </c:pt>
                <c:pt idx="3">
                  <c:v>23.071837350897361</c:v>
                </c:pt>
                <c:pt idx="4">
                  <c:v>22.170400000000001</c:v>
                </c:pt>
                <c:pt idx="5">
                  <c:v>22.811385815855612</c:v>
                </c:pt>
                <c:pt idx="6">
                  <c:v>23.918279659098026</c:v>
                </c:pt>
                <c:pt idx="7">
                  <c:v>24.795054065785255</c:v>
                </c:pt>
                <c:pt idx="8">
                  <c:v>25.548352420560391</c:v>
                </c:pt>
                <c:pt idx="9">
                  <c:v>26.277445534089821</c:v>
                </c:pt>
                <c:pt idx="10">
                  <c:v>26.939371224383304</c:v>
                </c:pt>
                <c:pt idx="11">
                  <c:v>28.077415271253258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9-4285-BA9C-A0C8AD48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091008"/>
        <c:axId val="170777344"/>
      </c:lineChart>
      <c:lineChart>
        <c:grouping val="standard"/>
        <c:varyColors val="0"/>
        <c:ser>
          <c:idx val="2"/>
          <c:order val="2"/>
          <c:tx>
            <c:strRef>
              <c:f>'Masa Térmica'!$H$24</c:f>
              <c:strCache>
                <c:ptCount val="1"/>
                <c:pt idx="0">
                  <c:v>Carga Enf.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'Masa Térmica'!$H$26:$H$37</c:f>
              <c:numCache>
                <c:formatCode>0.0</c:formatCode>
                <c:ptCount val="12"/>
                <c:pt idx="0">
                  <c:v>1727.5085298102199</c:v>
                </c:pt>
                <c:pt idx="1">
                  <c:v>-6434.9920387269995</c:v>
                </c:pt>
                <c:pt idx="2">
                  <c:v>-11236.157340620501</c:v>
                </c:pt>
                <c:pt idx="3">
                  <c:v>-13458.755614312495</c:v>
                </c:pt>
                <c:pt idx="4">
                  <c:v>-6241.4991503729962</c:v>
                </c:pt>
                <c:pt idx="5">
                  <c:v>4162.0676079790792</c:v>
                </c:pt>
                <c:pt idx="6">
                  <c:v>7187.3150645013593</c:v>
                </c:pt>
                <c:pt idx="7">
                  <c:v>5693.0968943625003</c:v>
                </c:pt>
                <c:pt idx="8">
                  <c:v>4891.3386287159201</c:v>
                </c:pt>
                <c:pt idx="9">
                  <c:v>4734.1684573329394</c:v>
                </c:pt>
                <c:pt idx="10">
                  <c:v>4298.03500531794</c:v>
                </c:pt>
                <c:pt idx="11">
                  <c:v>7389.5804661578404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9-4285-BA9C-A0C8AD48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04352"/>
        <c:axId val="170777920"/>
      </c:lineChart>
      <c:catAx>
        <c:axId val="17009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Horas del día</a:t>
                </a:r>
              </a:p>
            </c:rich>
          </c:tx>
          <c:layout>
            <c:manualLayout>
              <c:xMode val="edge"/>
              <c:yMode val="edge"/>
              <c:x val="0.39696445606381719"/>
              <c:y val="0.791390760839579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77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77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11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Temperatura °C</a:t>
                </a:r>
              </a:p>
            </c:rich>
          </c:tx>
          <c:layout>
            <c:manualLayout>
              <c:xMode val="edge"/>
              <c:yMode val="edge"/>
              <c:x val="1.6018389858130481E-2"/>
              <c:y val="0.2924084022207504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091008"/>
        <c:crosses val="autoZero"/>
        <c:crossBetween val="between"/>
      </c:valAx>
      <c:catAx>
        <c:axId val="17040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0777920"/>
        <c:crosses val="autoZero"/>
        <c:auto val="1"/>
        <c:lblAlgn val="ctr"/>
        <c:lblOffset val="100"/>
        <c:noMultiLvlLbl val="0"/>
      </c:catAx>
      <c:valAx>
        <c:axId val="170777920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Carga Térmica [Wh/hr]</a:t>
                </a:r>
              </a:p>
            </c:rich>
          </c:tx>
          <c:layout>
            <c:manualLayout>
              <c:xMode val="edge"/>
              <c:yMode val="edge"/>
              <c:x val="0.92871779916399344"/>
              <c:y val="0.1936209842928512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70404352"/>
        <c:crosses val="max"/>
        <c:crossBetween val="between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385605041020168"/>
          <c:y val="0.897350894201288"/>
          <c:w val="0.68421052631578949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AR" sz="1400"/>
              <a:t>Pérdidas</a:t>
            </a:r>
            <a:r>
              <a:rPr lang="es-AR" sz="1400" baseline="0"/>
              <a:t> de calor </a:t>
            </a:r>
          </a:p>
          <a:p>
            <a:pPr>
              <a:defRPr sz="1400"/>
            </a:pPr>
            <a:r>
              <a:rPr lang="es-AR" sz="1400" baseline="0"/>
              <a:t>por cada elemento</a:t>
            </a:r>
            <a:endParaRPr lang="es-AR" sz="1400"/>
          </a:p>
        </c:rich>
      </c:tx>
      <c:layout>
        <c:manualLayout>
          <c:xMode val="edge"/>
          <c:yMode val="edge"/>
          <c:x val="0.22602403646912553"/>
          <c:y val="3.122314289930810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70866141732286"/>
          <c:y val="0.27506820906645935"/>
          <c:w val="0.59919698328848137"/>
          <c:h val="0.58440199604679044"/>
        </c:manualLayout>
      </c:layout>
      <c:pieChart>
        <c:varyColors val="1"/>
        <c:ser>
          <c:idx val="0"/>
          <c:order val="0"/>
          <c:dLbls>
            <c:dLbl>
              <c:idx val="4"/>
              <c:layout>
                <c:manualLayout>
                  <c:x val="0.21453520483852562"/>
                  <c:y val="-2.9675361376288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67-4591-8912-D66C479581D9}"/>
                </c:ext>
              </c:extLst>
            </c:dLbl>
            <c:dLbl>
              <c:idx val="6"/>
              <c:numFmt formatCode="0.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A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F667-4591-8912-D66C479581D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[1]Resumen!$B$20:$B$27</c:f>
              <c:strCache>
                <c:ptCount val="8"/>
                <c:pt idx="0">
                  <c:v>Muro 1</c:v>
                </c:pt>
                <c:pt idx="1">
                  <c:v>Muro 2</c:v>
                </c:pt>
                <c:pt idx="2">
                  <c:v>Techo 1</c:v>
                </c:pt>
                <c:pt idx="3">
                  <c:v>Techo 2</c:v>
                </c:pt>
                <c:pt idx="4">
                  <c:v>Ventanas sur tipo 1</c:v>
                </c:pt>
                <c:pt idx="5">
                  <c:v>Puertas</c:v>
                </c:pt>
                <c:pt idx="6">
                  <c:v>Fundaciones</c:v>
                </c:pt>
                <c:pt idx="7">
                  <c:v>Infiltracion</c:v>
                </c:pt>
              </c:strCache>
            </c:strRef>
          </c:cat>
          <c:val>
            <c:numRef>
              <c:f>Resumen!$C$20:$C$27</c:f>
              <c:numCache>
                <c:formatCode>0.0</c:formatCode>
                <c:ptCount val="8"/>
                <c:pt idx="0">
                  <c:v>23.60439464011424</c:v>
                </c:pt>
                <c:pt idx="1">
                  <c:v>4.3141942195895409</c:v>
                </c:pt>
                <c:pt idx="2">
                  <c:v>19.31431566000856</c:v>
                </c:pt>
                <c:pt idx="3">
                  <c:v>0</c:v>
                </c:pt>
                <c:pt idx="4">
                  <c:v>6.3929721112440703</c:v>
                </c:pt>
                <c:pt idx="5">
                  <c:v>5.1281831104979441</c:v>
                </c:pt>
                <c:pt idx="6">
                  <c:v>22.993911959837565</c:v>
                </c:pt>
                <c:pt idx="7">
                  <c:v>18.252028298708087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7-4591-8912-D66C479581D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Balance Térmico de Verano</a:t>
            </a:r>
          </a:p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100"/>
              <a:t>Distribución de las ganancias térmicas diarias</a:t>
            </a:r>
          </a:p>
        </c:rich>
      </c:tx>
      <c:layout>
        <c:manualLayout>
          <c:xMode val="edge"/>
          <c:yMode val="edge"/>
          <c:x val="0.20776077032503384"/>
          <c:y val="2.6135856152309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914614358149844"/>
          <c:y val="0.19047009049241978"/>
          <c:w val="0.79420731707317072"/>
          <c:h val="0.5288900366537253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enfriamiento'!$B$271:$I$271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6BFD-481F-896B-4655BAA94267}"/>
            </c:ext>
          </c:extLst>
        </c:ser>
        <c:ser>
          <c:idx val="0"/>
          <c:order val="1"/>
          <c:invertIfNegative val="0"/>
          <c:dLbls>
            <c:delete val="1"/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enfriamiento'!$B$272:$I$272</c:f>
              <c:numCache>
                <c:formatCode>0.0</c:formatCode>
                <c:ptCount val="8"/>
                <c:pt idx="0">
                  <c:v>5574.4714999999997</c:v>
                </c:pt>
                <c:pt idx="1">
                  <c:v>6678.45</c:v>
                </c:pt>
                <c:pt idx="2">
                  <c:v>5806.8064127999987</c:v>
                </c:pt>
                <c:pt idx="3">
                  <c:v>5220.8206511999997</c:v>
                </c:pt>
                <c:pt idx="4">
                  <c:v>2495.69233481736</c:v>
                </c:pt>
                <c:pt idx="5">
                  <c:v>9700.7760000000017</c:v>
                </c:pt>
                <c:pt idx="6">
                  <c:v>2160</c:v>
                </c:pt>
                <c:pt idx="7">
                  <c:v>10098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FD-481F-896B-4655BAA94267}"/>
            </c:ext>
          </c:extLst>
        </c:ser>
        <c:ser>
          <c:idx val="2"/>
          <c:order val="2"/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F969-460B-B9BC-DE24E2BBA9FA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/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969-460B-B9BC-DE24E2BBA9FA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969-460B-B9BC-DE24E2BBA9FA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969-460B-B9BC-DE24E2BBA9FA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969-460B-B9BC-DE24E2BBA9FA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969-460B-B9BC-DE24E2BBA9FA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969-460B-B9BC-DE24E2BBA9FA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AR"/>
                </a:p>
              </c:txPr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969-460B-B9BC-DE24E2BBA9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A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'Balance enfriamiento'!$B$270:$I$270</c:f>
              <c:strCache>
                <c:ptCount val="8"/>
                <c:pt idx="0">
                  <c:v>Muros</c:v>
                </c:pt>
                <c:pt idx="1">
                  <c:v>Techos</c:v>
                </c:pt>
                <c:pt idx="2">
                  <c:v>Vent. Cond.</c:v>
                </c:pt>
                <c:pt idx="3">
                  <c:v>Vent. Rad.</c:v>
                </c:pt>
                <c:pt idx="4">
                  <c:v>Infiltr.</c:v>
                </c:pt>
                <c:pt idx="5">
                  <c:v>Ocup.</c:v>
                </c:pt>
                <c:pt idx="6">
                  <c:v>Ilumin.</c:v>
                </c:pt>
                <c:pt idx="7">
                  <c:v>Equip.</c:v>
                </c:pt>
              </c:strCache>
            </c:strRef>
          </c:cat>
          <c:val>
            <c:numRef>
              <c:f>'Balance enfriamiento'!$B$273:$I$273</c:f>
              <c:numCache>
                <c:formatCode>0.0%</c:formatCode>
                <c:ptCount val="8"/>
                <c:pt idx="0">
                  <c:v>0.11677950197055673</c:v>
                </c:pt>
                <c:pt idx="1">
                  <c:v>0.13990672746918961</c:v>
                </c:pt>
                <c:pt idx="2">
                  <c:v>0.12164668182915975</c:v>
                </c:pt>
                <c:pt idx="3">
                  <c:v>0.10937087677723954</c:v>
                </c:pt>
                <c:pt idx="4">
                  <c:v>5.2282213288148881E-2</c:v>
                </c:pt>
                <c:pt idx="5">
                  <c:v>0.2032213798219131</c:v>
                </c:pt>
                <c:pt idx="6">
                  <c:v>4.5249800677320269E-2</c:v>
                </c:pt>
                <c:pt idx="7">
                  <c:v>0.21154281816647225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FD-481F-896B-4655BAA942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4599936"/>
        <c:axId val="180070656"/>
      </c:barChart>
      <c:catAx>
        <c:axId val="745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8007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007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sz="1100"/>
                  <a:t>Energía [Wh/dia]</a:t>
                </a:r>
              </a:p>
            </c:rich>
          </c:tx>
          <c:layout>
            <c:manualLayout>
              <c:xMode val="edge"/>
              <c:yMode val="edge"/>
              <c:x val="3.2347786639698693E-2"/>
              <c:y val="0.214163043052454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74599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C0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0" verticalDpi="0"/>
  </c:printSettings>
</c:chartSpace>
</file>

<file path=xl/ctrlProps/ctrlProp1.xml><?xml version="1.0" encoding="utf-8"?>
<formControlPr xmlns="http://schemas.microsoft.com/office/spreadsheetml/2009/9/main" objectType="Drop" dropStyle="combo" dx="16" fmlaLink="$E$84" fmlaRange="$B$65:$B$84" sel="6" val="4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chart" Target="../charts/chart1.xml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</xdr:row>
          <xdr:rowOff>19050</xdr:rowOff>
        </xdr:from>
        <xdr:to>
          <xdr:col>1</xdr:col>
          <xdr:colOff>19050</xdr:colOff>
          <xdr:row>8</xdr:row>
          <xdr:rowOff>57150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200114</xdr:colOff>
      <xdr:row>56</xdr:row>
      <xdr:rowOff>76200</xdr:rowOff>
    </xdr:from>
    <xdr:to>
      <xdr:col>13</xdr:col>
      <xdr:colOff>76201</xdr:colOff>
      <xdr:row>67</xdr:row>
      <xdr:rowOff>142875</xdr:rowOff>
    </xdr:to>
    <xdr:grpSp>
      <xdr:nvGrpSpPr>
        <xdr:cNvPr id="27" name="26 Grupo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6000839" y="5819775"/>
          <a:ext cx="2714537" cy="1847850"/>
          <a:chOff x="3905339" y="5657850"/>
          <a:chExt cx="2714537" cy="1847850"/>
        </a:xfrm>
      </xdr:grpSpPr>
      <xdr:grpSp>
        <xdr:nvGrpSpPr>
          <xdr:cNvPr id="26" name="25 Grupo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3905339" y="5657850"/>
            <a:ext cx="2714537" cy="1847850"/>
            <a:chOff x="5153114" y="5724525"/>
            <a:chExt cx="2714537" cy="1847850"/>
          </a:xfrm>
        </xdr:grpSpPr>
        <xdr:sp macro="" textlink="">
          <xdr:nvSpPr>
            <xdr:cNvPr id="7" name="6 Forma libre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/>
          </xdr:nvSpPr>
          <xdr:spPr>
            <a:xfrm rot="60000">
              <a:off x="5153114" y="6266788"/>
              <a:ext cx="942975" cy="953163"/>
            </a:xfrm>
            <a:custGeom>
              <a:avLst/>
              <a:gdLst>
                <a:gd name="connsiteX0" fmla="*/ 9525 w 942975"/>
                <a:gd name="connsiteY0" fmla="*/ 942975 h 942975"/>
                <a:gd name="connsiteX1" fmla="*/ 0 w 942975"/>
                <a:gd name="connsiteY1" fmla="*/ 438150 h 942975"/>
                <a:gd name="connsiteX2" fmla="*/ 476250 w 942975"/>
                <a:gd name="connsiteY2" fmla="*/ 0 h 942975"/>
                <a:gd name="connsiteX3" fmla="*/ 933450 w 942975"/>
                <a:gd name="connsiteY3" fmla="*/ 428625 h 942975"/>
                <a:gd name="connsiteX4" fmla="*/ 942975 w 942975"/>
                <a:gd name="connsiteY4" fmla="*/ 923925 h 942975"/>
                <a:gd name="connsiteX5" fmla="*/ 9525 w 942975"/>
                <a:gd name="connsiteY5" fmla="*/ 942975 h 942975"/>
                <a:gd name="connsiteX0" fmla="*/ 9525 w 942975"/>
                <a:gd name="connsiteY0" fmla="*/ 933617 h 933617"/>
                <a:gd name="connsiteX1" fmla="*/ 0 w 942975"/>
                <a:gd name="connsiteY1" fmla="*/ 428792 h 933617"/>
                <a:gd name="connsiteX2" fmla="*/ 485940 w 942975"/>
                <a:gd name="connsiteY2" fmla="*/ 0 h 933617"/>
                <a:gd name="connsiteX3" fmla="*/ 933450 w 942975"/>
                <a:gd name="connsiteY3" fmla="*/ 419267 h 933617"/>
                <a:gd name="connsiteX4" fmla="*/ 942975 w 942975"/>
                <a:gd name="connsiteY4" fmla="*/ 914567 h 933617"/>
                <a:gd name="connsiteX5" fmla="*/ 9525 w 942975"/>
                <a:gd name="connsiteY5" fmla="*/ 933617 h 933617"/>
                <a:gd name="connsiteX0" fmla="*/ 9525 w 942975"/>
                <a:gd name="connsiteY0" fmla="*/ 924426 h 924426"/>
                <a:gd name="connsiteX1" fmla="*/ 0 w 942975"/>
                <a:gd name="connsiteY1" fmla="*/ 419601 h 924426"/>
                <a:gd name="connsiteX2" fmla="*/ 505153 w 942975"/>
                <a:gd name="connsiteY2" fmla="*/ 0 h 924426"/>
                <a:gd name="connsiteX3" fmla="*/ 933450 w 942975"/>
                <a:gd name="connsiteY3" fmla="*/ 410076 h 924426"/>
                <a:gd name="connsiteX4" fmla="*/ 942975 w 942975"/>
                <a:gd name="connsiteY4" fmla="*/ 905376 h 924426"/>
                <a:gd name="connsiteX5" fmla="*/ 9525 w 942975"/>
                <a:gd name="connsiteY5" fmla="*/ 924426 h 924426"/>
                <a:gd name="connsiteX0" fmla="*/ 9525 w 942975"/>
                <a:gd name="connsiteY0" fmla="*/ 953163 h 953163"/>
                <a:gd name="connsiteX1" fmla="*/ 0 w 942975"/>
                <a:gd name="connsiteY1" fmla="*/ 448338 h 953163"/>
                <a:gd name="connsiteX2" fmla="*/ 514178 w 942975"/>
                <a:gd name="connsiteY2" fmla="*/ 0 h 953163"/>
                <a:gd name="connsiteX3" fmla="*/ 933450 w 942975"/>
                <a:gd name="connsiteY3" fmla="*/ 438813 h 953163"/>
                <a:gd name="connsiteX4" fmla="*/ 942975 w 942975"/>
                <a:gd name="connsiteY4" fmla="*/ 934113 h 953163"/>
                <a:gd name="connsiteX5" fmla="*/ 9525 w 942975"/>
                <a:gd name="connsiteY5" fmla="*/ 953163 h 953163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942975" h="953163">
                  <a:moveTo>
                    <a:pt x="9525" y="953163"/>
                  </a:moveTo>
                  <a:lnTo>
                    <a:pt x="0" y="448338"/>
                  </a:lnTo>
                  <a:lnTo>
                    <a:pt x="514178" y="0"/>
                  </a:lnTo>
                  <a:lnTo>
                    <a:pt x="933450" y="438813"/>
                  </a:lnTo>
                  <a:lnTo>
                    <a:pt x="942975" y="934113"/>
                  </a:lnTo>
                  <a:lnTo>
                    <a:pt x="9525" y="953163"/>
                  </a:lnTo>
                  <a:close/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sp macro="" textlink="">
          <xdr:nvSpPr>
            <xdr:cNvPr id="9" name="8 Forma libre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5657849" y="5724525"/>
              <a:ext cx="1438275" cy="1476375"/>
            </a:xfrm>
            <a:custGeom>
              <a:avLst/>
              <a:gdLst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14450 w 1314450"/>
                <a:gd name="connsiteY3" fmla="*/ 914400 h 1428750"/>
                <a:gd name="connsiteX4" fmla="*/ 476250 w 1314450"/>
                <a:gd name="connsiteY4" fmla="*/ 1428750 h 1428750"/>
                <a:gd name="connsiteX0" fmla="*/ 0 w 1314450"/>
                <a:gd name="connsiteY0" fmla="*/ 466725 h 1428750"/>
                <a:gd name="connsiteX1" fmla="*/ 876300 w 1314450"/>
                <a:gd name="connsiteY1" fmla="*/ 0 h 1428750"/>
                <a:gd name="connsiteX2" fmla="*/ 1257300 w 1314450"/>
                <a:gd name="connsiteY2" fmla="*/ 409575 h 1428750"/>
                <a:gd name="connsiteX3" fmla="*/ 1304925 w 1314450"/>
                <a:gd name="connsiteY3" fmla="*/ 447675 h 1428750"/>
                <a:gd name="connsiteX4" fmla="*/ 1314450 w 1314450"/>
                <a:gd name="connsiteY4" fmla="*/ 914400 h 1428750"/>
                <a:gd name="connsiteX5" fmla="*/ 476250 w 1314450"/>
                <a:gd name="connsiteY5" fmla="*/ 1428750 h 1428750"/>
                <a:gd name="connsiteX0" fmla="*/ 0 w 1314450"/>
                <a:gd name="connsiteY0" fmla="*/ 466725 h 1390650"/>
                <a:gd name="connsiteX1" fmla="*/ 876300 w 1314450"/>
                <a:gd name="connsiteY1" fmla="*/ 0 h 1390650"/>
                <a:gd name="connsiteX2" fmla="*/ 1257300 w 1314450"/>
                <a:gd name="connsiteY2" fmla="*/ 409575 h 1390650"/>
                <a:gd name="connsiteX3" fmla="*/ 1304925 w 1314450"/>
                <a:gd name="connsiteY3" fmla="*/ 447675 h 1390650"/>
                <a:gd name="connsiteX4" fmla="*/ 1314450 w 1314450"/>
                <a:gd name="connsiteY4" fmla="*/ 914400 h 1390650"/>
                <a:gd name="connsiteX5" fmla="*/ 466725 w 1314450"/>
                <a:gd name="connsiteY5" fmla="*/ 1390650 h 1390650"/>
                <a:gd name="connsiteX0" fmla="*/ 0 w 1314450"/>
                <a:gd name="connsiteY0" fmla="*/ 466725 h 1476375"/>
                <a:gd name="connsiteX1" fmla="*/ 876300 w 1314450"/>
                <a:gd name="connsiteY1" fmla="*/ 0 h 1476375"/>
                <a:gd name="connsiteX2" fmla="*/ 1257300 w 1314450"/>
                <a:gd name="connsiteY2" fmla="*/ 409575 h 1476375"/>
                <a:gd name="connsiteX3" fmla="*/ 1304925 w 1314450"/>
                <a:gd name="connsiteY3" fmla="*/ 447675 h 1476375"/>
                <a:gd name="connsiteX4" fmla="*/ 1314450 w 1314450"/>
                <a:gd name="connsiteY4" fmla="*/ 914400 h 1476375"/>
                <a:gd name="connsiteX5" fmla="*/ 333375 w 1314450"/>
                <a:gd name="connsiteY5" fmla="*/ 1476375 h 1476375"/>
                <a:gd name="connsiteX0" fmla="*/ 0 w 1314450"/>
                <a:gd name="connsiteY0" fmla="*/ 466725 h 1476375"/>
                <a:gd name="connsiteX1" fmla="*/ 352425 w 1314450"/>
                <a:gd name="connsiteY1" fmla="*/ 285750 h 1476375"/>
                <a:gd name="connsiteX2" fmla="*/ 876300 w 1314450"/>
                <a:gd name="connsiteY2" fmla="*/ 0 h 1476375"/>
                <a:gd name="connsiteX3" fmla="*/ 1257300 w 1314450"/>
                <a:gd name="connsiteY3" fmla="*/ 409575 h 1476375"/>
                <a:gd name="connsiteX4" fmla="*/ 1304925 w 1314450"/>
                <a:gd name="connsiteY4" fmla="*/ 447675 h 1476375"/>
                <a:gd name="connsiteX5" fmla="*/ 1314450 w 1314450"/>
                <a:gd name="connsiteY5" fmla="*/ 914400 h 1476375"/>
                <a:gd name="connsiteX6" fmla="*/ 333375 w 1314450"/>
                <a:gd name="connsiteY6" fmla="*/ 1476375 h 1476375"/>
                <a:gd name="connsiteX0" fmla="*/ 0 w 1028700"/>
                <a:gd name="connsiteY0" fmla="*/ 1009650 h 1476375"/>
                <a:gd name="connsiteX1" fmla="*/ 66675 w 1028700"/>
                <a:gd name="connsiteY1" fmla="*/ 285750 h 1476375"/>
                <a:gd name="connsiteX2" fmla="*/ 590550 w 1028700"/>
                <a:gd name="connsiteY2" fmla="*/ 0 h 1476375"/>
                <a:gd name="connsiteX3" fmla="*/ 971550 w 1028700"/>
                <a:gd name="connsiteY3" fmla="*/ 409575 h 1476375"/>
                <a:gd name="connsiteX4" fmla="*/ 1019175 w 1028700"/>
                <a:gd name="connsiteY4" fmla="*/ 447675 h 1476375"/>
                <a:gd name="connsiteX5" fmla="*/ 1028700 w 1028700"/>
                <a:gd name="connsiteY5" fmla="*/ 914400 h 1476375"/>
                <a:gd name="connsiteX6" fmla="*/ 47625 w 1028700"/>
                <a:gd name="connsiteY6" fmla="*/ 1476375 h 1476375"/>
                <a:gd name="connsiteX0" fmla="*/ 409575 w 1438275"/>
                <a:gd name="connsiteY0" fmla="*/ 1009650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381125 w 1438275"/>
                <a:gd name="connsiteY3" fmla="*/ 409575 h 1476375"/>
                <a:gd name="connsiteX4" fmla="*/ 1428750 w 1438275"/>
                <a:gd name="connsiteY4" fmla="*/ 447675 h 1476375"/>
                <a:gd name="connsiteX5" fmla="*/ 1438275 w 1438275"/>
                <a:gd name="connsiteY5" fmla="*/ 914400 h 1476375"/>
                <a:gd name="connsiteX6" fmla="*/ 457200 w 1438275"/>
                <a:gd name="connsiteY6" fmla="*/ 1476375 h 1476375"/>
                <a:gd name="connsiteX0" fmla="*/ 438150 w 1438275"/>
                <a:gd name="connsiteY0" fmla="*/ 1000125 h 1476375"/>
                <a:gd name="connsiteX1" fmla="*/ 0 w 1438275"/>
                <a:gd name="connsiteY1" fmla="*/ 552450 h 1476375"/>
                <a:gd name="connsiteX2" fmla="*/ 1000125 w 1438275"/>
                <a:gd name="connsiteY2" fmla="*/ 0 h 1476375"/>
                <a:gd name="connsiteX3" fmla="*/ 1428750 w 1438275"/>
                <a:gd name="connsiteY3" fmla="*/ 447675 h 1476375"/>
                <a:gd name="connsiteX4" fmla="*/ 1438275 w 1438275"/>
                <a:gd name="connsiteY4" fmla="*/ 914400 h 1476375"/>
                <a:gd name="connsiteX5" fmla="*/ 457200 w 1438275"/>
                <a:gd name="connsiteY5" fmla="*/ 1476375 h 147637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438275" h="1476375">
                  <a:moveTo>
                    <a:pt x="438150" y="1000125"/>
                  </a:moveTo>
                  <a:lnTo>
                    <a:pt x="0" y="552450"/>
                  </a:lnTo>
                  <a:lnTo>
                    <a:pt x="1000125" y="0"/>
                  </a:lnTo>
                  <a:lnTo>
                    <a:pt x="1428750" y="447675"/>
                  </a:lnTo>
                  <a:lnTo>
                    <a:pt x="1438275" y="914400"/>
                  </a:lnTo>
                  <a:lnTo>
                    <a:pt x="457200" y="1476375"/>
                  </a:lnTo>
                </a:path>
              </a:pathLst>
            </a:custGeom>
            <a:solidFill>
              <a:schemeClr val="bg1"/>
            </a:solidFill>
            <a:ln>
              <a:solidFill>
                <a:schemeClr val="tx1"/>
              </a:solidFill>
            </a:ln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endParaRPr lang="es-AR" sz="1100"/>
            </a:p>
          </xdr:txBody>
        </xdr:sp>
        <xdr:cxnSp macro="">
          <xdr:nvCxnSpPr>
            <xdr:cNvPr id="11" name="10 Conector recto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CxnSpPr>
              <a:stCxn id="7" idx="3"/>
              <a:endCxn id="9" idx="3"/>
            </xdr:cNvCxnSpPr>
          </xdr:nvCxnSpPr>
          <xdr:spPr bwMode="auto">
            <a:xfrm flipV="1">
              <a:off x="6087153" y="6172200"/>
              <a:ext cx="999446" cy="541469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6" name="15 Conector recto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CxnSpPr>
              <a:stCxn id="9" idx="5"/>
            </xdr:cNvCxnSpPr>
          </xdr:nvCxnSpPr>
          <xdr:spPr bwMode="auto">
            <a:xfrm flipV="1">
              <a:off x="6115049" y="717232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cxnSp macro="">
          <xdr:nvCxnSpPr>
            <xdr:cNvPr id="18" name="17 Conector recto">
              <a:extLst>
                <a:ext uri="{FF2B5EF4-FFF2-40B4-BE49-F238E27FC236}">
                  <a16:creationId xmlns:a16="http://schemas.microsoft.com/office/drawing/2014/main" id="{00000000-0008-0000-0100-000012000000}"/>
                </a:ext>
              </a:extLst>
            </xdr:cNvPr>
            <xdr:cNvCxnSpPr/>
          </xdr:nvCxnSpPr>
          <xdr:spPr bwMode="auto">
            <a:xfrm flipV="1">
              <a:off x="7105650" y="6619875"/>
              <a:ext cx="762001" cy="28575"/>
            </a:xfrm>
            <a:prstGeom prst="line">
              <a:avLst/>
            </a:prstGeom>
            <a:solidFill>
              <a:srgbClr val="FFFFFF"/>
            </a:solidFill>
            <a:ln w="9525" cap="flat" cmpd="sng" algn="ctr">
              <a:solidFill>
                <a:srgbClr val="000000"/>
              </a:solidFill>
              <a:prstDash val="dash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2" name="21 CuadroTexto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7096125" y="67437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L</a:t>
              </a:r>
            </a:p>
          </xdr:txBody>
        </xdr:sp>
        <xdr:sp macro="" textlink="">
          <xdr:nvSpPr>
            <xdr:cNvPr id="23" name="22 CuadroTexto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 txBox="1"/>
          </xdr:nvSpPr>
          <xdr:spPr>
            <a:xfrm>
              <a:off x="5343526" y="6781800"/>
              <a:ext cx="266700" cy="2667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4" name="23 CuadroTexto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>
              <a:off x="6038850" y="6781800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h</a:t>
              </a:r>
            </a:p>
          </xdr:txBody>
        </xdr:sp>
        <xdr:sp macro="" textlink="">
          <xdr:nvSpPr>
            <xdr:cNvPr id="25" name="24 CuadroTexto">
              <a:extLst>
                <a:ext uri="{FF2B5EF4-FFF2-40B4-BE49-F238E27FC236}">
                  <a16:creationId xmlns:a16="http://schemas.microsoft.com/office/drawing/2014/main" id="{00000000-0008-0000-0100-000019000000}"/>
                </a:ext>
              </a:extLst>
            </xdr:cNvPr>
            <xdr:cNvSpPr txBox="1"/>
          </xdr:nvSpPr>
          <xdr:spPr>
            <a:xfrm>
              <a:off x="5724525" y="7191375"/>
              <a:ext cx="390525" cy="3810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AR" sz="1400"/>
                <a:t>d</a:t>
              </a:r>
            </a:p>
          </xdr:txBody>
        </xdr:sp>
      </xdr:grpSp>
      <xdr:cxnSp macro="">
        <xdr:nvCxnSpPr>
          <xdr:cNvPr id="19" name="18 Conector recto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 bwMode="auto">
          <a:xfrm flipH="1" flipV="1">
            <a:off x="4419600" y="6191250"/>
            <a:ext cx="19050" cy="933450"/>
          </a:xfrm>
          <a:prstGeom prst="line">
            <a:avLst/>
          </a:prstGeom>
          <a:solidFill>
            <a:srgbClr val="FFFFFF"/>
          </a:solidFill>
          <a:ln w="9525" cap="flat" cmpd="sng" algn="ctr">
            <a:solidFill>
              <a:srgbClr val="000000"/>
            </a:solidFill>
            <a:prstDash val="dash"/>
            <a:round/>
            <a:headEnd type="none" w="med" len="med"/>
            <a:tailEnd type="none" w="med" len="med"/>
          </a:ln>
          <a:effectLst/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429421</xdr:colOff>
      <xdr:row>27</xdr:row>
      <xdr:rowOff>3158</xdr:rowOff>
    </xdr:from>
    <xdr:to>
      <xdr:col>18</xdr:col>
      <xdr:colOff>495300</xdr:colOff>
      <xdr:row>35</xdr:row>
      <xdr:rowOff>123824</xdr:rowOff>
    </xdr:to>
    <xdr:grpSp>
      <xdr:nvGrpSpPr>
        <xdr:cNvPr id="1129" name="Group 44">
          <a:extLst>
            <a:ext uri="{FF2B5EF4-FFF2-40B4-BE49-F238E27FC236}">
              <a16:creationId xmlns:a16="http://schemas.microsoft.com/office/drawing/2014/main" id="{00000000-0008-0000-0200-000069040000}"/>
            </a:ext>
          </a:extLst>
        </xdr:cNvPr>
        <xdr:cNvGrpSpPr>
          <a:grpSpLocks/>
        </xdr:cNvGrpSpPr>
      </xdr:nvGrpSpPr>
      <xdr:grpSpPr bwMode="auto">
        <a:xfrm>
          <a:off x="9944896" y="4489433"/>
          <a:ext cx="1894679" cy="1416066"/>
          <a:chOff x="295" y="778"/>
          <a:chExt cx="235" cy="190"/>
        </a:xfrm>
      </xdr:grpSpPr>
      <xdr:pic>
        <xdr:nvPicPr>
          <xdr:cNvPr id="1134" name="Picture 17" descr="inv2">
            <a:extLst>
              <a:ext uri="{FF2B5EF4-FFF2-40B4-BE49-F238E27FC236}">
                <a16:creationId xmlns:a16="http://schemas.microsoft.com/office/drawing/2014/main" id="{00000000-0008-0000-0200-00006E04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778" b="31013"/>
          <a:stretch>
            <a:fillRect/>
          </a:stretch>
        </xdr:blipFill>
        <xdr:spPr bwMode="auto">
          <a:xfrm>
            <a:off x="295" y="778"/>
            <a:ext cx="235" cy="1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67" name="Text Box 43">
            <a:extLst>
              <a:ext uri="{FF2B5EF4-FFF2-40B4-BE49-F238E27FC236}">
                <a16:creationId xmlns:a16="http://schemas.microsoft.com/office/drawing/2014/main" id="{00000000-0008-0000-0200-00002B04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1" y="945"/>
            <a:ext cx="13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ctr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Invernadero adosado</a:t>
            </a:r>
          </a:p>
        </xdr:txBody>
      </xdr:sp>
    </xdr:grpSp>
    <xdr:clientData/>
  </xdr:twoCellAnchor>
  <xdr:twoCellAnchor editAs="oneCell">
    <xdr:from>
      <xdr:col>15</xdr:col>
      <xdr:colOff>435882</xdr:colOff>
      <xdr:row>16</xdr:row>
      <xdr:rowOff>87923</xdr:rowOff>
    </xdr:from>
    <xdr:to>
      <xdr:col>18</xdr:col>
      <xdr:colOff>495299</xdr:colOff>
      <xdr:row>23</xdr:row>
      <xdr:rowOff>155332</xdr:rowOff>
    </xdr:to>
    <xdr:pic>
      <xdr:nvPicPr>
        <xdr:cNvPr id="1130" name="Picture 49">
          <a:extLst>
            <a:ext uri="{FF2B5EF4-FFF2-40B4-BE49-F238E27FC236}">
              <a16:creationId xmlns:a16="http://schemas.microsoft.com/office/drawing/2014/main" id="{00000000-0008-0000-02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8901" y="2696308"/>
          <a:ext cx="1883821" cy="1254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437969</xdr:colOff>
      <xdr:row>6</xdr:row>
      <xdr:rowOff>14653</xdr:rowOff>
    </xdr:from>
    <xdr:to>
      <xdr:col>18</xdr:col>
      <xdr:colOff>476248</xdr:colOff>
      <xdr:row>14</xdr:row>
      <xdr:rowOff>114301</xdr:rowOff>
    </xdr:to>
    <xdr:pic>
      <xdr:nvPicPr>
        <xdr:cNvPr id="1131" name="Picture 50">
          <a:extLst>
            <a:ext uri="{FF2B5EF4-FFF2-40B4-BE49-F238E27FC236}">
              <a16:creationId xmlns:a16="http://schemas.microsoft.com/office/drawing/2014/main" id="{00000000-0008-0000-02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0988" y="1003788"/>
          <a:ext cx="1862683" cy="1396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139212</xdr:colOff>
      <xdr:row>13</xdr:row>
      <xdr:rowOff>38100</xdr:rowOff>
    </xdr:from>
    <xdr:to>
      <xdr:col>18</xdr:col>
      <xdr:colOff>466725</xdr:colOff>
      <xdr:row>14</xdr:row>
      <xdr:rowOff>14654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00000000-0008-0000-0200-000033040000}"/>
            </a:ext>
          </a:extLst>
        </xdr:cNvPr>
        <xdr:cNvSpPr txBox="1">
          <a:spLocks noChangeArrowheads="1"/>
        </xdr:cNvSpPr>
      </xdr:nvSpPr>
      <xdr:spPr bwMode="auto">
        <a:xfrm>
          <a:off x="10858500" y="2162908"/>
          <a:ext cx="935648" cy="13774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Ganancia directa</a:t>
          </a:r>
        </a:p>
        <a:p>
          <a:pPr algn="ctr" rtl="0">
            <a:defRPr sz="1000"/>
          </a:pPr>
          <a:endParaRPr lang="es-ES" sz="8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17</xdr:col>
      <xdr:colOff>102577</xdr:colOff>
      <xdr:row>24</xdr:row>
      <xdr:rowOff>126022</xdr:rowOff>
    </xdr:from>
    <xdr:to>
      <xdr:col>18</xdr:col>
      <xdr:colOff>451338</xdr:colOff>
      <xdr:row>25</xdr:row>
      <xdr:rowOff>117231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00000000-0008-0000-0200-000034040000}"/>
            </a:ext>
          </a:extLst>
        </xdr:cNvPr>
        <xdr:cNvSpPr txBox="1">
          <a:spLocks noChangeArrowheads="1"/>
        </xdr:cNvSpPr>
      </xdr:nvSpPr>
      <xdr:spPr bwMode="auto">
        <a:xfrm>
          <a:off x="10821865" y="3760176"/>
          <a:ext cx="956896" cy="15240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Arial"/>
              <a:cs typeface="Arial"/>
            </a:rPr>
            <a:t>Muro acumulador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393699</xdr:colOff>
      <xdr:row>274</xdr:row>
      <xdr:rowOff>9524</xdr:rowOff>
    </xdr:from>
    <xdr:to>
      <xdr:col>9</xdr:col>
      <xdr:colOff>254000</xdr:colOff>
      <xdr:row>297</xdr:row>
      <xdr:rowOff>57150</xdr:rowOff>
    </xdr:to>
    <xdr:graphicFrame macro="">
      <xdr:nvGraphicFramePr>
        <xdr:cNvPr id="4104" name="Chart 1">
          <a:extLst>
            <a:ext uri="{FF2B5EF4-FFF2-40B4-BE49-F238E27FC236}">
              <a16:creationId xmlns:a16="http://schemas.microsoft.com/office/drawing/2014/main" id="{00000000-0008-0000-05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57150</xdr:colOff>
      <xdr:row>88</xdr:row>
      <xdr:rowOff>123825</xdr:rowOff>
    </xdr:from>
    <xdr:to>
      <xdr:col>29</xdr:col>
      <xdr:colOff>333375</xdr:colOff>
      <xdr:row>103</xdr:row>
      <xdr:rowOff>0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4449425"/>
          <a:ext cx="3438525" cy="2305050"/>
        </a:xfrm>
        <a:prstGeom prst="rect">
          <a:avLst/>
        </a:prstGeom>
        <a:solidFill>
          <a:schemeClr val="bg2">
            <a:lumMod val="75000"/>
          </a:schemeClr>
        </a:solidFill>
      </xdr:spPr>
    </xdr:pic>
    <xdr:clientData/>
  </xdr:twoCellAnchor>
  <xdr:twoCellAnchor editAs="oneCell">
    <xdr:from>
      <xdr:col>7</xdr:col>
      <xdr:colOff>9525</xdr:colOff>
      <xdr:row>139</xdr:row>
      <xdr:rowOff>0</xdr:rowOff>
    </xdr:from>
    <xdr:to>
      <xdr:col>27</xdr:col>
      <xdr:colOff>733425</xdr:colOff>
      <xdr:row>164</xdr:row>
      <xdr:rowOff>104775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22574250"/>
          <a:ext cx="5524500" cy="418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581025</xdr:colOff>
      <xdr:row>165</xdr:row>
      <xdr:rowOff>95250</xdr:rowOff>
    </xdr:from>
    <xdr:to>
      <xdr:col>29</xdr:col>
      <xdr:colOff>733425</xdr:colOff>
      <xdr:row>190</xdr:row>
      <xdr:rowOff>28575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593"/>
        <a:stretch/>
      </xdr:blipFill>
      <xdr:spPr bwMode="auto">
        <a:xfrm>
          <a:off x="9639300" y="14116050"/>
          <a:ext cx="4076700" cy="401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191</xdr:row>
      <xdr:rowOff>0</xdr:rowOff>
    </xdr:from>
    <xdr:to>
      <xdr:col>29</xdr:col>
      <xdr:colOff>423778</xdr:colOff>
      <xdr:row>238</xdr:row>
      <xdr:rowOff>114300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18268950"/>
          <a:ext cx="3586078" cy="77724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46</xdr:row>
      <xdr:rowOff>28575</xdr:rowOff>
    </xdr:from>
    <xdr:to>
      <xdr:col>3</xdr:col>
      <xdr:colOff>314325</xdr:colOff>
      <xdr:row>57</xdr:row>
      <xdr:rowOff>104775</xdr:rowOff>
    </xdr:to>
    <xdr:grpSp>
      <xdr:nvGrpSpPr>
        <xdr:cNvPr id="2" name="Group 1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104775" y="7515225"/>
          <a:ext cx="2733675" cy="1857375"/>
          <a:chOff x="299" y="177"/>
          <a:chExt cx="262" cy="195"/>
        </a:xfrm>
      </xdr:grpSpPr>
      <xdr:sp macro="" textlink="">
        <xdr:nvSpPr>
          <xdr:cNvPr id="3" name="Rectangle 1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5" name="Line 3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7" name="Text Box 5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8" name="Text Box 6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9" name="Text Box 7">
            <a:extLst>
              <a:ext uri="{FF2B5EF4-FFF2-40B4-BE49-F238E27FC236}">
                <a16:creationId xmlns:a16="http://schemas.microsoft.com/office/drawing/2014/main" id="{00000000-0008-0000-06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10" name="Text Box 8">
            <a:extLst>
              <a:ext uri="{FF2B5EF4-FFF2-40B4-BE49-F238E27FC236}">
                <a16:creationId xmlns:a16="http://schemas.microsoft.com/office/drawing/2014/main" id="{00000000-0008-0000-06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Text Box 10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13" name="Freeform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22</xdr:row>
      <xdr:rowOff>161925</xdr:rowOff>
    </xdr:from>
    <xdr:to>
      <xdr:col>16</xdr:col>
      <xdr:colOff>9525</xdr:colOff>
      <xdr:row>42</xdr:row>
      <xdr:rowOff>104775</xdr:rowOff>
    </xdr:to>
    <xdr:graphicFrame macro="">
      <xdr:nvGraphicFramePr>
        <xdr:cNvPr id="7178" name="Chart 1">
          <a:extLst>
            <a:ext uri="{FF2B5EF4-FFF2-40B4-BE49-F238E27FC236}">
              <a16:creationId xmlns:a16="http://schemas.microsoft.com/office/drawing/2014/main" id="{00000000-0008-0000-0700-00000A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35</xdr:row>
      <xdr:rowOff>28575</xdr:rowOff>
    </xdr:from>
    <xdr:to>
      <xdr:col>3</xdr:col>
      <xdr:colOff>314325</xdr:colOff>
      <xdr:row>46</xdr:row>
      <xdr:rowOff>104775</xdr:rowOff>
    </xdr:to>
    <xdr:grpSp>
      <xdr:nvGrpSpPr>
        <xdr:cNvPr id="14" name="Group 14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pSpPr>
          <a:grpSpLocks/>
        </xdr:cNvGrpSpPr>
      </xdr:nvGrpSpPr>
      <xdr:grpSpPr bwMode="auto">
        <a:xfrm>
          <a:off x="104775" y="5762625"/>
          <a:ext cx="2495550" cy="1857375"/>
          <a:chOff x="299" y="177"/>
          <a:chExt cx="262" cy="195"/>
        </a:xfrm>
      </xdr:grpSpPr>
      <xdr:sp macro="" textlink="">
        <xdr:nvSpPr>
          <xdr:cNvPr id="15" name="Rectangle 1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SpPr>
            <a:spLocks noChangeArrowheads="1"/>
          </xdr:cNvSpPr>
        </xdr:nvSpPr>
        <xdr:spPr bwMode="auto">
          <a:xfrm>
            <a:off x="371" y="218"/>
            <a:ext cx="114" cy="80"/>
          </a:xfrm>
          <a:prstGeom prst="rect">
            <a:avLst/>
          </a:prstGeom>
          <a:solidFill>
            <a:srgbClr val="E3E3E3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6" name="Text Box 2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9" y="177"/>
            <a:ext cx="207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vista esquemática</a:t>
            </a:r>
            <a:r>
              <a:rPr lang="es-ES" sz="1000" b="0" i="0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en planta </a:t>
            </a:r>
          </a:p>
        </xdr:txBody>
      </xdr:sp>
      <xdr:sp macro="" textlink="">
        <xdr:nvSpPr>
          <xdr:cNvPr id="17" name="Line 3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SpPr>
            <a:spLocks noChangeShapeType="1"/>
          </xdr:cNvSpPr>
        </xdr:nvSpPr>
        <xdr:spPr bwMode="auto">
          <a:xfrm flipH="1" flipV="1">
            <a:off x="433" y="302"/>
            <a:ext cx="26" cy="4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" name="Text Box 4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1" y="309"/>
            <a:ext cx="100" cy="3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dirección de viento predominante</a:t>
            </a:r>
          </a:p>
        </xdr:txBody>
      </xdr:sp>
      <xdr:sp macro="" textlink="">
        <xdr:nvSpPr>
          <xdr:cNvPr id="19" name="Text Box 5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7" y="254"/>
            <a:ext cx="16" cy="18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d</a:t>
            </a:r>
          </a:p>
        </xdr:txBody>
      </xdr:sp>
      <xdr:sp macro="" textlink="">
        <xdr:nvSpPr>
          <xdr:cNvPr id="20" name="Text Box 6">
            <a:extLst>
              <a:ext uri="{FF2B5EF4-FFF2-40B4-BE49-F238E27FC236}">
                <a16:creationId xmlns:a16="http://schemas.microsoft.com/office/drawing/2014/main" id="{00000000-0008-0000-08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197"/>
            <a:ext cx="16" cy="16"/>
          </a:xfrm>
          <a:prstGeom prst="rect">
            <a:avLst/>
          </a:prstGeom>
          <a:solidFill>
            <a:srgbClr val="FFFF99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c</a:t>
            </a:r>
          </a:p>
        </xdr:txBody>
      </xdr:sp>
      <xdr:sp macro="" textlink="">
        <xdr:nvSpPr>
          <xdr:cNvPr id="21" name="Text Box 7">
            <a:extLst>
              <a:ext uri="{FF2B5EF4-FFF2-40B4-BE49-F238E27FC236}">
                <a16:creationId xmlns:a16="http://schemas.microsoft.com/office/drawing/2014/main" id="{00000000-0008-0000-0800-00001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1" y="256"/>
            <a:ext cx="12" cy="18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xdr:txBody>
      </xdr:sp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8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3" y="307"/>
            <a:ext cx="14" cy="16"/>
          </a:xfrm>
          <a:prstGeom prst="rect">
            <a:avLst/>
          </a:prstGeom>
          <a:solidFill>
            <a:srgbClr val="FFFFC0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1000" b="0" i="0" strike="noStrike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xdr:txBody>
      </xdr:sp>
      <xdr:sp macro="" textlink="">
        <xdr:nvSpPr>
          <xdr:cNvPr id="23" name="Line 9">
            <a:extLst>
              <a:ext uri="{FF2B5EF4-FFF2-40B4-BE49-F238E27FC236}">
                <a16:creationId xmlns:a16="http://schemas.microsoft.com/office/drawing/2014/main" id="{00000000-0008-0000-08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433" y="300"/>
            <a:ext cx="0" cy="48"/>
          </a:xfrm>
          <a:prstGeom prst="lin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Text Box 10">
            <a:extLst>
              <a:ext uri="{FF2B5EF4-FFF2-40B4-BE49-F238E27FC236}">
                <a16:creationId xmlns:a16="http://schemas.microsoft.com/office/drawing/2014/main" id="{00000000-0008-0000-08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29" y="354"/>
            <a:ext cx="114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Angulo de incidencia </a:t>
            </a:r>
          </a:p>
        </xdr:txBody>
      </xdr:sp>
      <xdr:sp macro="" textlink="">
        <xdr:nvSpPr>
          <xdr:cNvPr id="25" name="Freeform 12">
            <a:extLst>
              <a:ext uri="{FF2B5EF4-FFF2-40B4-BE49-F238E27FC236}">
                <a16:creationId xmlns:a16="http://schemas.microsoft.com/office/drawing/2014/main" id="{00000000-0008-0000-0800-000019000000}"/>
              </a:ext>
            </a:extLst>
          </xdr:cNvPr>
          <xdr:cNvSpPr>
            <a:spLocks/>
          </xdr:cNvSpPr>
        </xdr:nvSpPr>
        <xdr:spPr bwMode="auto">
          <a:xfrm>
            <a:off x="429" y="324"/>
            <a:ext cx="26" cy="11"/>
          </a:xfrm>
          <a:custGeom>
            <a:avLst/>
            <a:gdLst>
              <a:gd name="T0" fmla="*/ 0 w 26"/>
              <a:gd name="T1" fmla="*/ 6 h 11"/>
              <a:gd name="T2" fmla="*/ 12 w 26"/>
              <a:gd name="T3" fmla="*/ 10 h 11"/>
              <a:gd name="T4" fmla="*/ 26 w 26"/>
              <a:gd name="T5" fmla="*/ 0 h 11"/>
              <a:gd name="T6" fmla="*/ 0 60000 65536"/>
              <a:gd name="T7" fmla="*/ 0 60000 65536"/>
              <a:gd name="T8" fmla="*/ 0 60000 65536"/>
              <a:gd name="T9" fmla="*/ 0 w 26"/>
              <a:gd name="T10" fmla="*/ 0 h 11"/>
              <a:gd name="T11" fmla="*/ 26 w 26"/>
              <a:gd name="T12" fmla="*/ 11 h 11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6" h="11">
                <a:moveTo>
                  <a:pt x="0" y="6"/>
                </a:moveTo>
                <a:cubicBezTo>
                  <a:pt x="4" y="8"/>
                  <a:pt x="8" y="11"/>
                  <a:pt x="12" y="10"/>
                </a:cubicBezTo>
                <a:cubicBezTo>
                  <a:pt x="16" y="9"/>
                  <a:pt x="24" y="2"/>
                  <a:pt x="26" y="0"/>
                </a:cubicBezTo>
              </a:path>
            </a:pathLst>
          </a:cu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561975</xdr:colOff>
      <xdr:row>16</xdr:row>
      <xdr:rowOff>133350</xdr:rowOff>
    </xdr:from>
    <xdr:to>
      <xdr:col>7</xdr:col>
      <xdr:colOff>685800</xdr:colOff>
      <xdr:row>36</xdr:row>
      <xdr:rowOff>104775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62</xdr:row>
      <xdr:rowOff>123825</xdr:rowOff>
    </xdr:from>
    <xdr:to>
      <xdr:col>7</xdr:col>
      <xdr:colOff>177801</xdr:colOff>
      <xdr:row>78</xdr:row>
      <xdr:rowOff>85725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lfredoE\Desktop\Diplomatura\Dictado-Temas%202\4-13%20Integraci&#243;n%20de%20sistemas%20pasivos%20y%20activos.%20An&#225;lisis%20econ&#243;mico\Programa%20de%20balance%20total\Quinta%20cohorte\Segunda%20cohorte\Balance%20Mendoza%20Norte%2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gar"/>
      <sheetName val="superficies"/>
      <sheetName val="Balance calefacción"/>
      <sheetName val="K comp"/>
      <sheetName val="mensual"/>
      <sheetName val="Balance enfriamiento"/>
      <sheetName val="Enf. convectivo nocturno"/>
      <sheetName val="Masa Térmica"/>
      <sheetName val="Ventilación natural"/>
      <sheetName val="Acumuación"/>
      <sheetName val="Resumen"/>
    </sheetNames>
    <sheetDataSet>
      <sheetData sheetId="0">
        <row r="17">
          <cell r="D17" t="str">
            <v>Vivienda Perez - Guaymallén, Mendoza</v>
          </cell>
        </row>
      </sheetData>
      <sheetData sheetId="1">
        <row r="24">
          <cell r="B24">
            <v>2.6280292823106151</v>
          </cell>
          <cell r="C24" t="str">
            <v>m²/m²</v>
          </cell>
          <cell r="E24" t="str">
            <v>Factor de Area Envolvente/Piso: ideal entre 1 y 2</v>
          </cell>
        </row>
        <row r="25">
          <cell r="B25">
            <v>1.0641777724759121</v>
          </cell>
        </row>
        <row r="26">
          <cell r="B26">
            <v>1.563851509834703</v>
          </cell>
        </row>
        <row r="28">
          <cell r="B28">
            <v>0.79589589474934075</v>
          </cell>
          <cell r="E28" t="str">
            <v xml:space="preserve">Factor de Forma: ideal entre 0,6 y 1,2 </v>
          </cell>
        </row>
      </sheetData>
      <sheetData sheetId="2">
        <row r="4">
          <cell r="B4" t="str">
            <v>Las Heras-Guaymallén</v>
          </cell>
        </row>
      </sheetData>
      <sheetData sheetId="3"/>
      <sheetData sheetId="4"/>
      <sheetData sheetId="5">
        <row r="235">
          <cell r="E235" t="str">
            <v>W</v>
          </cell>
        </row>
        <row r="236">
          <cell r="E236" t="str">
            <v>frig./hora</v>
          </cell>
        </row>
        <row r="237">
          <cell r="E237" t="str">
            <v>Ton.refrig.</v>
          </cell>
        </row>
      </sheetData>
      <sheetData sheetId="6"/>
      <sheetData sheetId="7">
        <row r="20">
          <cell r="G20" t="str">
            <v>Muros</v>
          </cell>
          <cell r="I20" t="str">
            <v>Pisos</v>
          </cell>
        </row>
      </sheetData>
      <sheetData sheetId="8"/>
      <sheetData sheetId="9"/>
      <sheetData sheetId="10">
        <row r="20">
          <cell r="B20" t="str">
            <v>Muro 1</v>
          </cell>
        </row>
        <row r="21">
          <cell r="B21" t="str">
            <v>Muro 2</v>
          </cell>
        </row>
        <row r="22">
          <cell r="B22" t="str">
            <v>Techo 1</v>
          </cell>
        </row>
        <row r="23">
          <cell r="B23" t="str">
            <v>Techo 2</v>
          </cell>
        </row>
        <row r="24">
          <cell r="B24" t="str">
            <v>Ventanas sur tipo 1</v>
          </cell>
        </row>
        <row r="25">
          <cell r="B25" t="str">
            <v>Puertas</v>
          </cell>
        </row>
        <row r="26">
          <cell r="B26" t="str">
            <v>Fundaciones</v>
          </cell>
        </row>
        <row r="27">
          <cell r="B27" t="str">
            <v>Infiltracion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85"/>
  <sheetViews>
    <sheetView tabSelected="1" workbookViewId="0">
      <selection activeCell="C12" sqref="C12"/>
    </sheetView>
  </sheetViews>
  <sheetFormatPr baseColWidth="10" defaultColWidth="9.140625" defaultRowHeight="12.75"/>
  <cols>
    <col min="1" max="1" width="20.5703125" customWidth="1"/>
    <col min="2" max="2" width="19.42578125" customWidth="1"/>
    <col min="3" max="3" width="20.5703125" customWidth="1"/>
    <col min="4" max="4" width="21.28515625" customWidth="1"/>
    <col min="5" max="5" width="12.7109375" customWidth="1"/>
    <col min="6" max="6" width="12.28515625" customWidth="1"/>
    <col min="7" max="7" width="12.5703125" customWidth="1"/>
    <col min="8" max="8" width="10" customWidth="1"/>
    <col min="9" max="9" width="25.7109375" customWidth="1"/>
  </cols>
  <sheetData>
    <row r="1" spans="1:11">
      <c r="A1" s="1" t="s">
        <v>269</v>
      </c>
    </row>
    <row r="2" spans="1:11">
      <c r="A2" s="1" t="s">
        <v>2</v>
      </c>
    </row>
    <row r="6" spans="1:11" ht="19.5" customHeight="1">
      <c r="A6" s="1" t="s">
        <v>270</v>
      </c>
      <c r="C6" s="481" t="s">
        <v>621</v>
      </c>
      <c r="D6" s="482" t="s">
        <v>624</v>
      </c>
      <c r="E6" s="481" t="s">
        <v>428</v>
      </c>
      <c r="F6" s="481" t="s">
        <v>622</v>
      </c>
      <c r="G6" s="481" t="s">
        <v>623</v>
      </c>
    </row>
    <row r="7" spans="1:11">
      <c r="C7" s="484" t="s">
        <v>626</v>
      </c>
      <c r="D7" s="483" t="s">
        <v>634</v>
      </c>
      <c r="E7" s="483" t="s">
        <v>656</v>
      </c>
      <c r="F7" s="483" t="s">
        <v>657</v>
      </c>
      <c r="G7" s="484" t="s">
        <v>658</v>
      </c>
    </row>
    <row r="8" spans="1:11">
      <c r="C8" s="483" t="s">
        <v>627</v>
      </c>
      <c r="D8" s="484" t="s">
        <v>635</v>
      </c>
      <c r="E8" s="483" t="s">
        <v>642</v>
      </c>
      <c r="F8" s="483" t="s">
        <v>664</v>
      </c>
      <c r="G8" s="484" t="s">
        <v>643</v>
      </c>
    </row>
    <row r="9" spans="1:11">
      <c r="C9" s="483" t="s">
        <v>628</v>
      </c>
      <c r="D9" s="484" t="s">
        <v>636</v>
      </c>
      <c r="E9" s="483" t="s">
        <v>644</v>
      </c>
      <c r="F9" s="483" t="s">
        <v>663</v>
      </c>
      <c r="G9" s="484" t="s">
        <v>643</v>
      </c>
    </row>
    <row r="10" spans="1:11">
      <c r="C10" s="484" t="s">
        <v>629</v>
      </c>
      <c r="D10" s="484" t="s">
        <v>637</v>
      </c>
      <c r="E10" s="483" t="s">
        <v>645</v>
      </c>
      <c r="F10" s="483" t="s">
        <v>662</v>
      </c>
      <c r="G10" s="484" t="s">
        <v>646</v>
      </c>
    </row>
    <row r="11" spans="1:11">
      <c r="A11" s="248"/>
      <c r="B11" s="244"/>
      <c r="C11" s="484" t="s">
        <v>630</v>
      </c>
      <c r="D11" s="484" t="s">
        <v>638</v>
      </c>
      <c r="E11" s="483" t="s">
        <v>647</v>
      </c>
      <c r="F11" s="483" t="s">
        <v>655</v>
      </c>
      <c r="G11" s="484" t="s">
        <v>648</v>
      </c>
      <c r="H11" s="244"/>
      <c r="I11" s="244"/>
      <c r="J11" s="244"/>
      <c r="K11" s="244"/>
    </row>
    <row r="12" spans="1:11">
      <c r="C12" s="484" t="s">
        <v>631</v>
      </c>
      <c r="D12" s="484" t="s">
        <v>639</v>
      </c>
      <c r="E12" s="483" t="s">
        <v>649</v>
      </c>
      <c r="F12" s="483" t="s">
        <v>661</v>
      </c>
      <c r="G12" s="483" t="s">
        <v>650</v>
      </c>
    </row>
    <row r="13" spans="1:11">
      <c r="C13" s="484" t="s">
        <v>632</v>
      </c>
      <c r="D13" s="484" t="s">
        <v>640</v>
      </c>
      <c r="E13" s="483" t="s">
        <v>651</v>
      </c>
      <c r="F13" s="483" t="s">
        <v>660</v>
      </c>
      <c r="G13" s="483" t="s">
        <v>652</v>
      </c>
    </row>
    <row r="14" spans="1:11">
      <c r="C14" s="483" t="s">
        <v>633</v>
      </c>
      <c r="D14" s="483" t="s">
        <v>641</v>
      </c>
      <c r="E14" s="483" t="s">
        <v>653</v>
      </c>
      <c r="F14" s="483" t="s">
        <v>659</v>
      </c>
      <c r="G14" s="483" t="s">
        <v>654</v>
      </c>
    </row>
    <row r="16" spans="1:11" ht="13.5" thickBot="1"/>
    <row r="17" spans="1:11">
      <c r="C17" s="501" t="s">
        <v>670</v>
      </c>
      <c r="D17" s="502" t="s">
        <v>707</v>
      </c>
      <c r="E17" s="503"/>
      <c r="F17" s="503"/>
      <c r="G17" s="504"/>
    </row>
    <row r="18" spans="1:11" ht="13.5" thickBot="1">
      <c r="C18" s="584" t="s">
        <v>258</v>
      </c>
      <c r="D18" s="583" t="str">
        <f>+'Balance calefacción'!B4</f>
        <v>Santa Rosa</v>
      </c>
      <c r="E18" s="507"/>
      <c r="F18" s="507"/>
      <c r="G18" s="508"/>
    </row>
    <row r="25" spans="1:11">
      <c r="A25" s="248"/>
      <c r="B25" s="244"/>
      <c r="C25" s="244"/>
      <c r="D25" s="244"/>
      <c r="E25" s="244"/>
      <c r="F25" s="244"/>
      <c r="G25" s="244"/>
      <c r="H25" s="244"/>
      <c r="I25" s="244"/>
      <c r="J25" s="244"/>
      <c r="K25" s="244"/>
    </row>
    <row r="26" spans="1:11">
      <c r="A26" s="248"/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spans="1:11">
      <c r="A27" s="248"/>
      <c r="B27" s="244"/>
      <c r="C27" s="244"/>
      <c r="D27" s="244"/>
      <c r="E27" s="244"/>
      <c r="F27" s="244"/>
      <c r="G27" s="244"/>
      <c r="H27" s="244"/>
      <c r="I27" s="244"/>
      <c r="J27" s="244"/>
      <c r="K27" s="244"/>
    </row>
    <row r="28" spans="1:11">
      <c r="A28" s="248"/>
      <c r="B28" s="244"/>
      <c r="C28" s="244"/>
      <c r="D28" s="244"/>
      <c r="E28" s="244"/>
      <c r="F28" s="244"/>
      <c r="G28" s="244"/>
      <c r="H28" s="244"/>
      <c r="I28" s="244"/>
      <c r="J28" s="244"/>
      <c r="K28" s="244"/>
    </row>
    <row r="29" spans="1:11">
      <c r="A29" s="248"/>
      <c r="B29" s="244"/>
      <c r="C29" s="244"/>
      <c r="D29" s="244"/>
      <c r="E29" s="244"/>
      <c r="F29" s="244"/>
      <c r="G29" s="244"/>
      <c r="H29" s="244"/>
      <c r="I29" s="244"/>
      <c r="J29" s="244"/>
      <c r="K29" s="244"/>
    </row>
    <row r="30" spans="1:11">
      <c r="A30" s="248"/>
      <c r="B30" s="244"/>
      <c r="C30" s="244"/>
      <c r="D30" s="244"/>
      <c r="E30" s="244"/>
      <c r="F30" s="244"/>
      <c r="G30" s="244"/>
      <c r="H30" s="244"/>
      <c r="I30" s="244"/>
      <c r="J30" s="244"/>
      <c r="K30" s="244"/>
    </row>
    <row r="31" spans="1:11">
      <c r="A31" s="248"/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spans="1:11">
      <c r="A32" s="248"/>
      <c r="B32" s="244"/>
      <c r="C32" s="244"/>
      <c r="D32" s="244"/>
      <c r="E32" s="244"/>
      <c r="F32" s="244"/>
      <c r="G32" s="244"/>
      <c r="H32" s="244"/>
      <c r="I32" s="244"/>
      <c r="J32" s="244"/>
      <c r="K32" s="244"/>
    </row>
    <row r="33" spans="1:11">
      <c r="A33" s="248"/>
      <c r="B33" s="244"/>
      <c r="C33" s="244"/>
      <c r="D33" s="244"/>
      <c r="E33" s="244"/>
      <c r="F33" s="244"/>
      <c r="G33" s="244"/>
      <c r="H33" s="244"/>
      <c r="I33" s="244"/>
      <c r="J33" s="244"/>
      <c r="K33" s="244"/>
    </row>
    <row r="34" spans="1:11">
      <c r="A34" s="248"/>
      <c r="B34" s="244"/>
      <c r="C34" s="244"/>
      <c r="D34" s="244"/>
      <c r="E34" s="244"/>
      <c r="F34" s="244"/>
      <c r="G34" s="244"/>
      <c r="H34" s="244"/>
      <c r="I34" s="244"/>
      <c r="J34" s="244"/>
      <c r="K34" s="244"/>
    </row>
    <row r="35" spans="1:11">
      <c r="A35" s="248"/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>
      <c r="A36" s="248"/>
      <c r="B36" s="244"/>
      <c r="C36" s="244"/>
      <c r="D36" s="244"/>
      <c r="E36" s="244"/>
      <c r="F36" s="244"/>
      <c r="G36" s="244"/>
      <c r="H36" s="244"/>
      <c r="I36" s="244"/>
      <c r="J36" s="244"/>
      <c r="K36" s="244"/>
    </row>
    <row r="37" spans="1:11">
      <c r="A37" s="248"/>
      <c r="B37" s="244"/>
      <c r="C37" s="244"/>
      <c r="D37" s="244"/>
      <c r="E37" s="244"/>
      <c r="F37" s="244"/>
      <c r="G37" s="244"/>
      <c r="H37" s="244"/>
      <c r="I37" s="244"/>
      <c r="J37" s="244"/>
      <c r="K37" s="244"/>
    </row>
    <row r="38" spans="1:11">
      <c r="A38" s="248"/>
      <c r="B38" s="244"/>
      <c r="C38" s="244"/>
      <c r="D38" s="244"/>
      <c r="E38" s="244"/>
      <c r="F38" s="244"/>
      <c r="G38" s="244"/>
      <c r="H38" s="244"/>
      <c r="I38" s="244"/>
      <c r="J38" s="244"/>
      <c r="K38" s="244"/>
    </row>
    <row r="39" spans="1:11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</row>
    <row r="40" spans="1:11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</row>
    <row r="41" spans="1:11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</row>
    <row r="42" spans="1:11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</row>
    <row r="43" spans="1:11">
      <c r="A43" s="248"/>
      <c r="B43" s="244"/>
      <c r="C43" s="244"/>
      <c r="D43" s="244"/>
      <c r="E43" s="244"/>
      <c r="F43" s="244"/>
      <c r="G43" s="244"/>
      <c r="H43" s="244"/>
      <c r="I43" s="244"/>
      <c r="J43" s="244"/>
      <c r="K43" s="244"/>
    </row>
    <row r="44" spans="1:11">
      <c r="A44" s="248"/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spans="1:11">
      <c r="A45" s="248"/>
      <c r="B45" s="244"/>
      <c r="C45" s="244"/>
      <c r="D45" s="244"/>
      <c r="E45" s="244"/>
      <c r="F45" s="244"/>
      <c r="G45" s="244"/>
      <c r="H45" s="244"/>
      <c r="I45" s="244"/>
      <c r="J45" s="244"/>
      <c r="K45" s="244"/>
    </row>
    <row r="46" spans="1:11">
      <c r="A46" s="248"/>
      <c r="B46" s="244"/>
      <c r="C46" s="244"/>
      <c r="D46" s="244"/>
      <c r="E46" s="244"/>
      <c r="F46" s="244"/>
      <c r="G46" s="244"/>
      <c r="H46" s="244"/>
      <c r="I46" s="244"/>
      <c r="J46" s="244"/>
      <c r="K46" s="244"/>
    </row>
    <row r="47" spans="1:11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</row>
    <row r="48" spans="1:11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</row>
    <row r="50" spans="1:11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</row>
    <row r="51" spans="1:11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</row>
    <row r="62" spans="1:11" ht="13.5" thickBot="1"/>
    <row r="63" spans="1:11">
      <c r="B63" s="5" t="s">
        <v>86</v>
      </c>
      <c r="C63" s="489" t="s">
        <v>87</v>
      </c>
      <c r="D63" s="487" t="s">
        <v>336</v>
      </c>
      <c r="E63" s="487" t="s">
        <v>428</v>
      </c>
      <c r="F63" s="485" t="s">
        <v>429</v>
      </c>
      <c r="G63" s="278" t="s">
        <v>472</v>
      </c>
      <c r="H63" s="137"/>
    </row>
    <row r="64" spans="1:11" ht="13.5" thickBot="1">
      <c r="B64" s="138"/>
      <c r="C64" s="490" t="s">
        <v>88</v>
      </c>
      <c r="D64" s="488" t="s">
        <v>337</v>
      </c>
      <c r="E64" s="488" t="s">
        <v>430</v>
      </c>
      <c r="F64" s="486" t="s">
        <v>341</v>
      </c>
      <c r="G64" s="279" t="s">
        <v>473</v>
      </c>
      <c r="H64" s="491"/>
    </row>
    <row r="65" spans="1:9">
      <c r="A65" s="417">
        <v>1</v>
      </c>
      <c r="B65" s="497" t="s">
        <v>634</v>
      </c>
      <c r="C65" s="498">
        <v>1776.6</v>
      </c>
      <c r="D65" s="498">
        <v>19</v>
      </c>
      <c r="E65" s="498">
        <v>-36.119999999999997</v>
      </c>
      <c r="F65" s="498">
        <v>94</v>
      </c>
      <c r="G65" s="498">
        <v>45</v>
      </c>
      <c r="H65" s="499" t="s">
        <v>189</v>
      </c>
      <c r="I65" s="417"/>
    </row>
    <row r="66" spans="1:9">
      <c r="A66" s="417">
        <f t="shared" ref="A66:A72" si="0">+A65+1</f>
        <v>2</v>
      </c>
      <c r="B66" s="500" t="s">
        <v>635</v>
      </c>
      <c r="C66" s="498">
        <v>888.1</v>
      </c>
      <c r="D66" s="498">
        <v>15</v>
      </c>
      <c r="E66" s="498">
        <v>-34.35</v>
      </c>
      <c r="F66" s="498">
        <v>25</v>
      </c>
      <c r="G66" s="498">
        <v>45</v>
      </c>
      <c r="H66" s="499" t="s">
        <v>189</v>
      </c>
      <c r="I66" s="417"/>
    </row>
    <row r="67" spans="1:9">
      <c r="A67" s="417">
        <f t="shared" si="0"/>
        <v>3</v>
      </c>
      <c r="B67" s="500" t="s">
        <v>636</v>
      </c>
      <c r="C67" s="498">
        <v>1089.7</v>
      </c>
      <c r="D67" s="498">
        <v>13</v>
      </c>
      <c r="E67" s="498">
        <v>-32.549999999999997</v>
      </c>
      <c r="F67" s="498">
        <v>25</v>
      </c>
      <c r="G67" s="498">
        <v>0</v>
      </c>
      <c r="H67" s="499" t="s">
        <v>189</v>
      </c>
      <c r="I67" s="417"/>
    </row>
    <row r="68" spans="1:9">
      <c r="A68" s="417">
        <f t="shared" si="0"/>
        <v>4</v>
      </c>
      <c r="B68" s="500" t="s">
        <v>637</v>
      </c>
      <c r="C68" s="498">
        <v>1446.7</v>
      </c>
      <c r="D68" s="498">
        <v>15</v>
      </c>
      <c r="E68" s="498">
        <v>-34.08</v>
      </c>
      <c r="F68" s="498">
        <v>137</v>
      </c>
      <c r="G68" s="498">
        <v>45</v>
      </c>
      <c r="H68" s="499" t="s">
        <v>189</v>
      </c>
      <c r="I68" s="417"/>
    </row>
    <row r="69" spans="1:9">
      <c r="A69" s="417">
        <f t="shared" si="0"/>
        <v>5</v>
      </c>
      <c r="B69" s="500" t="s">
        <v>638</v>
      </c>
      <c r="C69" s="498">
        <v>1946.6</v>
      </c>
      <c r="D69" s="498">
        <v>18</v>
      </c>
      <c r="E69" s="498">
        <v>-37.56</v>
      </c>
      <c r="F69" s="498">
        <v>21</v>
      </c>
      <c r="G69" s="498">
        <v>45</v>
      </c>
      <c r="H69" s="499" t="s">
        <v>191</v>
      </c>
      <c r="I69" s="417"/>
    </row>
    <row r="70" spans="1:9">
      <c r="A70" s="417">
        <f t="shared" si="0"/>
        <v>6</v>
      </c>
      <c r="B70" s="500" t="s">
        <v>639</v>
      </c>
      <c r="C70" s="498">
        <v>1636.7</v>
      </c>
      <c r="D70" s="498">
        <v>15</v>
      </c>
      <c r="E70" s="498">
        <v>-36.340000000000003</v>
      </c>
      <c r="F70" s="498">
        <v>191</v>
      </c>
      <c r="G70" s="498">
        <v>0</v>
      </c>
      <c r="H70" s="499" t="s">
        <v>191</v>
      </c>
      <c r="I70" s="417"/>
    </row>
    <row r="71" spans="1:9">
      <c r="A71" s="417">
        <f t="shared" si="0"/>
        <v>7</v>
      </c>
      <c r="B71" s="500" t="s">
        <v>640</v>
      </c>
      <c r="C71" s="498">
        <v>790.4</v>
      </c>
      <c r="D71" s="498">
        <v>19</v>
      </c>
      <c r="E71" s="498">
        <v>-29.53</v>
      </c>
      <c r="F71" s="498">
        <v>88</v>
      </c>
      <c r="G71" s="498">
        <v>0</v>
      </c>
      <c r="H71" s="499" t="s">
        <v>195</v>
      </c>
      <c r="I71" s="417"/>
    </row>
    <row r="72" spans="1:9">
      <c r="A72" s="417">
        <f t="shared" si="0"/>
        <v>8</v>
      </c>
      <c r="B72" s="497" t="s">
        <v>641</v>
      </c>
      <c r="C72" s="498">
        <v>802.7</v>
      </c>
      <c r="D72" s="498">
        <v>18</v>
      </c>
      <c r="E72" s="498">
        <v>-31.18</v>
      </c>
      <c r="F72" s="498">
        <v>38</v>
      </c>
      <c r="G72" s="498">
        <v>45</v>
      </c>
      <c r="H72" s="499" t="s">
        <v>189</v>
      </c>
      <c r="I72" s="417"/>
    </row>
    <row r="73" spans="1:9">
      <c r="A73" s="245"/>
      <c r="B73" s="246"/>
      <c r="C73" s="247"/>
      <c r="D73" s="245"/>
    </row>
    <row r="74" spans="1:9">
      <c r="A74" s="245"/>
      <c r="B74" s="246"/>
      <c r="C74" s="247"/>
      <c r="D74" s="245"/>
    </row>
    <row r="75" spans="1:9">
      <c r="A75" s="245"/>
      <c r="B75" s="246"/>
      <c r="C75" s="247"/>
      <c r="D75" s="245"/>
    </row>
    <row r="76" spans="1:9">
      <c r="A76" s="245"/>
      <c r="B76" s="246"/>
      <c r="C76" s="247"/>
      <c r="D76" s="245"/>
    </row>
    <row r="77" spans="1:9">
      <c r="A77" s="245"/>
      <c r="B77" s="246"/>
      <c r="C77" s="247"/>
      <c r="D77" s="245"/>
    </row>
    <row r="78" spans="1:9">
      <c r="A78" s="245"/>
      <c r="B78" s="246"/>
      <c r="C78" s="247"/>
      <c r="D78" s="245"/>
    </row>
    <row r="79" spans="1:9">
      <c r="A79" s="245"/>
      <c r="B79" s="246"/>
      <c r="C79" s="247"/>
      <c r="D79" s="245"/>
    </row>
    <row r="80" spans="1:9">
      <c r="A80" s="245"/>
      <c r="B80" s="246"/>
      <c r="C80" s="247"/>
      <c r="D80" s="245"/>
    </row>
    <row r="81" spans="1:5">
      <c r="A81" s="245"/>
      <c r="B81" s="246"/>
      <c r="C81" s="247"/>
      <c r="D81" s="245"/>
    </row>
    <row r="82" spans="1:5">
      <c r="A82" s="245"/>
      <c r="B82" s="246"/>
      <c r="C82" s="247"/>
      <c r="D82" s="245"/>
    </row>
    <row r="83" spans="1:5">
      <c r="A83" s="245"/>
      <c r="B83" s="246"/>
      <c r="C83" s="247"/>
      <c r="D83" s="245"/>
    </row>
    <row r="84" spans="1:5">
      <c r="A84" s="245"/>
      <c r="B84" s="246"/>
      <c r="C84" s="247"/>
      <c r="D84" s="245"/>
      <c r="E84">
        <v>6</v>
      </c>
    </row>
    <row r="85" spans="1:5">
      <c r="A85" s="245"/>
      <c r="B85" s="245"/>
      <c r="C85" s="245"/>
      <c r="D85" s="245"/>
    </row>
  </sheetData>
  <phoneticPr fontId="14" type="noConversion"/>
  <pageMargins left="0.75" right="0.75" top="1" bottom="1" header="0" footer="0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0</xdr:col>
                    <xdr:colOff>19050</xdr:colOff>
                    <xdr:row>7</xdr:row>
                    <xdr:rowOff>19050</xdr:rowOff>
                  </from>
                  <to>
                    <xdr:col>1</xdr:col>
                    <xdr:colOff>19050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G26"/>
  <sheetViews>
    <sheetView workbookViewId="0">
      <selection activeCell="E7" sqref="E7"/>
    </sheetView>
  </sheetViews>
  <sheetFormatPr baseColWidth="10" defaultRowHeight="12.75"/>
  <cols>
    <col min="2" max="2" width="12.28515625" bestFit="1" customWidth="1"/>
  </cols>
  <sheetData>
    <row r="1" spans="1:7">
      <c r="A1" s="114"/>
      <c r="B1" s="116" t="s">
        <v>286</v>
      </c>
      <c r="C1" s="28"/>
      <c r="D1" s="42" t="s">
        <v>285</v>
      </c>
      <c r="E1" s="115"/>
    </row>
    <row r="2" spans="1:7" ht="13.5" thickBot="1">
      <c r="A2" s="117" t="s">
        <v>76</v>
      </c>
      <c r="B2" s="120" t="s">
        <v>287</v>
      </c>
      <c r="C2" s="121" t="s">
        <v>288</v>
      </c>
      <c r="D2" s="118" t="s">
        <v>287</v>
      </c>
      <c r="E2" s="119" t="s">
        <v>288</v>
      </c>
    </row>
    <row r="3" spans="1:7">
      <c r="A3" s="122">
        <v>0.1</v>
      </c>
      <c r="B3" s="11">
        <v>140</v>
      </c>
      <c r="C3" s="19">
        <v>0.75</v>
      </c>
      <c r="D3" s="11">
        <v>27.7</v>
      </c>
      <c r="E3" s="19">
        <v>0.1</v>
      </c>
    </row>
    <row r="4" spans="1:7">
      <c r="A4" s="122">
        <v>0.2</v>
      </c>
      <c r="B4" s="11">
        <v>270</v>
      </c>
      <c r="C4" s="19">
        <v>1.5</v>
      </c>
      <c r="D4" s="11">
        <v>54.4</v>
      </c>
      <c r="E4" s="19">
        <v>0.2</v>
      </c>
    </row>
    <row r="5" spans="1:7">
      <c r="A5" s="122">
        <v>0.3</v>
      </c>
      <c r="B5" s="11">
        <v>410</v>
      </c>
      <c r="C5" s="19">
        <v>2.25</v>
      </c>
      <c r="D5" s="11">
        <v>81.7</v>
      </c>
      <c r="E5" s="19">
        <v>0.3</v>
      </c>
    </row>
    <row r="6" spans="1:7">
      <c r="A6" s="122">
        <v>0.4</v>
      </c>
      <c r="B6" s="11">
        <v>545</v>
      </c>
      <c r="C6" s="19">
        <v>3</v>
      </c>
      <c r="D6" s="11">
        <v>108.9</v>
      </c>
      <c r="E6" s="19">
        <v>0.4</v>
      </c>
    </row>
    <row r="7" spans="1:7">
      <c r="A7" s="122">
        <v>0.5</v>
      </c>
      <c r="B7" s="11">
        <v>680</v>
      </c>
      <c r="C7" s="19">
        <v>3.75</v>
      </c>
      <c r="D7" s="11">
        <v>136.19999999999999</v>
      </c>
      <c r="E7" s="19">
        <v>0.5</v>
      </c>
    </row>
    <row r="8" spans="1:7">
      <c r="A8" s="122">
        <v>0.6</v>
      </c>
      <c r="B8" s="11">
        <v>820</v>
      </c>
      <c r="C8" s="19">
        <v>4.5</v>
      </c>
      <c r="D8" s="11">
        <v>163.19999999999999</v>
      </c>
      <c r="E8" s="19">
        <v>0.6</v>
      </c>
    </row>
    <row r="9" spans="1:7">
      <c r="A9" s="122">
        <v>0.7</v>
      </c>
      <c r="B9" s="11">
        <v>953</v>
      </c>
      <c r="C9" s="19">
        <v>5.25</v>
      </c>
      <c r="D9" s="11">
        <v>190.7</v>
      </c>
      <c r="E9" s="19">
        <v>0.7</v>
      </c>
    </row>
    <row r="10" spans="1:7">
      <c r="A10" s="122">
        <v>0.8</v>
      </c>
      <c r="B10" s="11">
        <v>1089</v>
      </c>
      <c r="C10" s="19">
        <v>6</v>
      </c>
      <c r="D10" s="11">
        <v>217.9</v>
      </c>
      <c r="E10" s="19">
        <v>0.8</v>
      </c>
    </row>
    <row r="11" spans="1:7">
      <c r="A11" s="123">
        <v>0.9</v>
      </c>
      <c r="B11" s="14">
        <v>1225</v>
      </c>
      <c r="C11" s="15">
        <v>6.75</v>
      </c>
      <c r="D11" s="14">
        <v>245.2</v>
      </c>
      <c r="E11" s="15">
        <v>0.9</v>
      </c>
    </row>
    <row r="12" spans="1:7">
      <c r="A12" s="7"/>
      <c r="B12" s="7"/>
      <c r="C12" s="7"/>
      <c r="D12" s="7"/>
      <c r="E12" s="7"/>
      <c r="F12" s="7"/>
    </row>
    <row r="13" spans="1:7">
      <c r="A13" s="7" t="s">
        <v>289</v>
      </c>
      <c r="B13" s="7"/>
      <c r="C13" s="7"/>
      <c r="D13" s="7"/>
      <c r="E13" s="7"/>
      <c r="F13" s="7"/>
    </row>
    <row r="14" spans="1:7">
      <c r="A14" s="7" t="s">
        <v>290</v>
      </c>
      <c r="B14" s="87">
        <f>C3*10*'Balance calefacción'!Q37*'Balance calefacción'!M36</f>
        <v>51.717281536303268</v>
      </c>
      <c r="C14" s="87" t="s">
        <v>27</v>
      </c>
      <c r="D14" s="87" t="s">
        <v>291</v>
      </c>
      <c r="E14" s="87">
        <f>+B3*10*'Balance calefacción'!Q37*'Balance calefacción'!M36</f>
        <v>9653.8925534432765</v>
      </c>
      <c r="F14" s="7" t="s">
        <v>292</v>
      </c>
      <c r="G14" t="s">
        <v>2</v>
      </c>
    </row>
    <row r="15" spans="1:7">
      <c r="A15" s="7" t="s">
        <v>293</v>
      </c>
      <c r="B15" s="87">
        <f>+E3*10*'Balance calefacción'!Q37*'Balance calefacción'!M36</f>
        <v>6.8956375381737693</v>
      </c>
      <c r="C15" s="87" t="s">
        <v>27</v>
      </c>
      <c r="D15" s="87"/>
      <c r="E15" s="87">
        <f>+D3*10*'Balance calefacción'!Q37*'Balance calefacción'!M36</f>
        <v>1910.091598074134</v>
      </c>
      <c r="F15" s="7" t="s">
        <v>292</v>
      </c>
    </row>
    <row r="16" spans="1:7">
      <c r="A16" s="7"/>
      <c r="B16" s="7"/>
      <c r="C16" s="7"/>
      <c r="D16" s="7"/>
      <c r="E16" s="7"/>
      <c r="F16" s="7"/>
    </row>
    <row r="17" spans="1:6">
      <c r="A17" s="7" t="s">
        <v>294</v>
      </c>
      <c r="B17" s="7"/>
      <c r="C17" s="7"/>
      <c r="D17" s="7" t="s">
        <v>348</v>
      </c>
      <c r="E17" s="7"/>
      <c r="F17" s="7"/>
    </row>
    <row r="18" spans="1:6">
      <c r="A18" s="7"/>
      <c r="B18" s="7"/>
      <c r="C18" s="7" t="s">
        <v>295</v>
      </c>
      <c r="D18" s="7" t="s">
        <v>349</v>
      </c>
      <c r="E18" s="7" t="s">
        <v>297</v>
      </c>
      <c r="F18" s="7"/>
    </row>
    <row r="19" spans="1:6">
      <c r="A19" s="7" t="s">
        <v>298</v>
      </c>
      <c r="B19" s="7"/>
      <c r="C19" s="7">
        <v>2200</v>
      </c>
      <c r="D19" s="124">
        <v>0.12</v>
      </c>
      <c r="E19" s="87">
        <f>+($E$14/C19)/D19</f>
        <v>36.567774823648776</v>
      </c>
      <c r="F19" s="7" t="s">
        <v>27</v>
      </c>
    </row>
    <row r="20" spans="1:6">
      <c r="A20" s="7" t="s">
        <v>299</v>
      </c>
      <c r="B20" s="7"/>
      <c r="C20" s="7">
        <v>1800</v>
      </c>
      <c r="D20" s="124">
        <v>0.1</v>
      </c>
      <c r="E20" s="87">
        <f>+($E$14/C20)/D20</f>
        <v>53.632736408018197</v>
      </c>
      <c r="F20" s="7" t="s">
        <v>27</v>
      </c>
    </row>
    <row r="21" spans="1:6">
      <c r="A21" s="7" t="s">
        <v>300</v>
      </c>
      <c r="B21" s="7"/>
      <c r="C21" s="7">
        <v>1600</v>
      </c>
      <c r="D21" s="124">
        <v>0.1</v>
      </c>
      <c r="E21" s="87">
        <f>+($E$14/C21)/D21</f>
        <v>60.336828459020474</v>
      </c>
      <c r="F21" s="7" t="s">
        <v>27</v>
      </c>
    </row>
    <row r="22" spans="1:6">
      <c r="A22" s="7" t="s">
        <v>301</v>
      </c>
      <c r="B22" s="7"/>
      <c r="C22" s="7">
        <v>2500</v>
      </c>
      <c r="D22" s="124">
        <v>0.12</v>
      </c>
      <c r="E22" s="87">
        <f>+($E$14/C22)/D22</f>
        <v>32.179641844810924</v>
      </c>
      <c r="F22" s="7" t="s">
        <v>27</v>
      </c>
    </row>
    <row r="23" spans="1:6">
      <c r="A23" s="7" t="s">
        <v>302</v>
      </c>
      <c r="B23" s="7"/>
      <c r="C23" s="7">
        <v>2000</v>
      </c>
      <c r="D23" s="124">
        <v>0.11</v>
      </c>
      <c r="E23" s="87">
        <f>+($E$14/C23)/D23</f>
        <v>43.88132978837853</v>
      </c>
      <c r="F23" s="7" t="s">
        <v>27</v>
      </c>
    </row>
    <row r="24" spans="1:6">
      <c r="A24" s="7"/>
      <c r="B24" s="7"/>
      <c r="C24" s="7"/>
      <c r="D24" s="124"/>
      <c r="E24" s="87"/>
      <c r="F24" s="7"/>
    </row>
    <row r="25" spans="1:6">
      <c r="A25" s="7" t="s">
        <v>303</v>
      </c>
      <c r="B25" s="7" t="s">
        <v>2</v>
      </c>
      <c r="C25" s="7">
        <v>1000</v>
      </c>
      <c r="D25" s="124">
        <v>0.25</v>
      </c>
      <c r="E25" s="87">
        <f>+($E$15/C25)/D25</f>
        <v>7.6403663922965359</v>
      </c>
      <c r="F25" s="7" t="s">
        <v>27</v>
      </c>
    </row>
    <row r="26" spans="1:6">
      <c r="A26" s="7"/>
      <c r="B26" s="7"/>
      <c r="C26" s="7"/>
      <c r="D26" s="7"/>
      <c r="E26" s="7"/>
      <c r="F26" s="7"/>
    </row>
  </sheetData>
  <phoneticPr fontId="14" type="noConversion"/>
  <pageMargins left="0.75" right="0.75" top="1" bottom="1" header="0" footer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J111"/>
  <sheetViews>
    <sheetView workbookViewId="0">
      <selection activeCell="J48" sqref="J48"/>
    </sheetView>
  </sheetViews>
  <sheetFormatPr baseColWidth="10" defaultRowHeight="12.75"/>
  <cols>
    <col min="1" max="1" width="3" customWidth="1"/>
    <col min="3" max="3" width="15.28515625" customWidth="1"/>
    <col min="4" max="4" width="13.140625" customWidth="1"/>
    <col min="9" max="9" width="3.42578125" customWidth="1"/>
    <col min="10" max="10" width="4.140625" customWidth="1"/>
  </cols>
  <sheetData>
    <row r="2" spans="2:10">
      <c r="B2" s="663" t="s">
        <v>673</v>
      </c>
      <c r="C2" s="663"/>
      <c r="D2" s="663"/>
      <c r="E2" s="663"/>
      <c r="F2" s="663"/>
      <c r="G2" s="663"/>
      <c r="H2" s="663"/>
    </row>
    <row r="3" spans="2:10" ht="13.5" thickBot="1"/>
    <row r="4" spans="2:10" ht="13.5" thickBot="1">
      <c r="B4" s="516" t="s">
        <v>674</v>
      </c>
      <c r="C4" s="517" t="str">
        <f>+Lugar!D17</f>
        <v>Vivienda Perez - Mar del Plata</v>
      </c>
      <c r="D4" s="518"/>
      <c r="E4" s="518"/>
      <c r="F4" s="518"/>
      <c r="G4" s="518"/>
      <c r="H4" s="519"/>
    </row>
    <row r="5" spans="2:10" ht="13.5" thickBot="1">
      <c r="B5" s="89"/>
      <c r="C5" s="89"/>
      <c r="D5" s="89"/>
      <c r="E5" s="89"/>
      <c r="F5" s="89"/>
      <c r="G5" s="89"/>
      <c r="H5" s="89"/>
    </row>
    <row r="6" spans="2:10" ht="13.5" thickBot="1">
      <c r="B6" s="520" t="s">
        <v>675</v>
      </c>
      <c r="C6" s="521"/>
      <c r="D6" s="517" t="str">
        <f>+'Balance calefacción'!B4</f>
        <v>Santa Rosa</v>
      </c>
      <c r="E6" s="518"/>
      <c r="F6" s="518"/>
      <c r="G6" s="518"/>
      <c r="H6" s="519"/>
    </row>
    <row r="7" spans="2:10">
      <c r="D7" s="522"/>
    </row>
    <row r="9" spans="2:10" ht="13.5" thickBot="1">
      <c r="B9" s="1" t="s">
        <v>676</v>
      </c>
    </row>
    <row r="10" spans="2:10">
      <c r="B10" s="523" t="s">
        <v>355</v>
      </c>
      <c r="C10" s="524" t="str">
        <f>+[1]superficies!E24</f>
        <v>Factor de Area Envolvente/Piso: ideal entre 1 y 2</v>
      </c>
      <c r="D10" s="524"/>
      <c r="E10" s="524"/>
      <c r="F10" s="524"/>
      <c r="G10" s="525">
        <f>+[1]superficies!B24</f>
        <v>2.6280292823106151</v>
      </c>
      <c r="H10" s="526" t="str">
        <f>+[1]superficies!C24</f>
        <v>m²/m²</v>
      </c>
    </row>
    <row r="11" spans="2:10">
      <c r="B11" s="527" t="s">
        <v>94</v>
      </c>
      <c r="C11" s="245"/>
      <c r="D11" s="245"/>
      <c r="E11" s="245"/>
      <c r="F11" s="245"/>
      <c r="G11" s="528">
        <f>+[1]superficies!B25</f>
        <v>1.0641777724759121</v>
      </c>
      <c r="H11" s="529" t="str">
        <f>+[1]superficies!C24</f>
        <v>m²/m²</v>
      </c>
    </row>
    <row r="12" spans="2:10">
      <c r="B12" s="527" t="s">
        <v>677</v>
      </c>
      <c r="C12" s="245"/>
      <c r="D12" s="245"/>
      <c r="E12" s="245"/>
      <c r="F12" s="245"/>
      <c r="G12" s="528">
        <f>+[1]superficies!B26</f>
        <v>1.563851509834703</v>
      </c>
      <c r="H12" s="529" t="str">
        <f>+[1]superficies!C24</f>
        <v>m²/m²</v>
      </c>
    </row>
    <row r="13" spans="2:10" ht="15" thickBot="1">
      <c r="B13" s="530" t="s">
        <v>678</v>
      </c>
      <c r="C13" s="505" t="str">
        <f>+[1]superficies!E28</f>
        <v xml:space="preserve">Factor de Forma: ideal entre 0,6 y 1,2 </v>
      </c>
      <c r="D13" s="505"/>
      <c r="E13" s="505"/>
      <c r="F13" s="505"/>
      <c r="G13" s="531">
        <f>+[1]superficies!B28</f>
        <v>0.79589589474934075</v>
      </c>
      <c r="H13" s="532" t="s">
        <v>358</v>
      </c>
    </row>
    <row r="15" spans="2:10" ht="13.5" thickBot="1">
      <c r="B15" s="1" t="s">
        <v>679</v>
      </c>
    </row>
    <row r="16" spans="2:10">
      <c r="B16" s="533" t="s">
        <v>680</v>
      </c>
      <c r="C16" s="524"/>
      <c r="D16" s="524"/>
      <c r="E16" s="524"/>
      <c r="F16" s="524"/>
      <c r="G16" s="524"/>
      <c r="H16" s="534"/>
      <c r="I16" s="245"/>
      <c r="J16" s="245"/>
    </row>
    <row r="17" spans="2:10">
      <c r="B17" s="527"/>
      <c r="C17" s="245"/>
      <c r="D17" s="245"/>
      <c r="E17" s="245"/>
      <c r="F17" s="245"/>
      <c r="G17" s="245"/>
      <c r="H17" s="535"/>
      <c r="I17" s="245"/>
      <c r="J17" s="245"/>
    </row>
    <row r="18" spans="2:10">
      <c r="B18" s="527"/>
      <c r="C18" s="245"/>
      <c r="D18" s="245"/>
      <c r="E18" s="245"/>
      <c r="F18" s="245"/>
      <c r="G18" s="245"/>
      <c r="H18" s="535"/>
      <c r="I18" s="245"/>
      <c r="J18" s="245"/>
    </row>
    <row r="19" spans="2:10">
      <c r="B19" s="536" t="s">
        <v>681</v>
      </c>
      <c r="C19" s="537" t="s">
        <v>11</v>
      </c>
      <c r="D19" s="245"/>
      <c r="E19" s="245"/>
      <c r="F19" s="245"/>
      <c r="G19" s="245"/>
      <c r="H19" s="535"/>
      <c r="I19" s="245"/>
      <c r="J19" s="245"/>
    </row>
    <row r="20" spans="2:10">
      <c r="B20" s="29" t="s">
        <v>69</v>
      </c>
      <c r="C20" s="538">
        <f>+'Balance calefacción'!G10</f>
        <v>23.60439464011424</v>
      </c>
      <c r="D20" s="245"/>
      <c r="E20" s="245"/>
      <c r="F20" s="245"/>
      <c r="G20" s="245"/>
      <c r="H20" s="535"/>
      <c r="I20" s="245"/>
      <c r="J20" s="245"/>
    </row>
    <row r="21" spans="2:10">
      <c r="B21" s="29" t="s">
        <v>70</v>
      </c>
      <c r="C21" s="538">
        <f>+'Balance calefacción'!G11</f>
        <v>4.3141942195895409</v>
      </c>
      <c r="D21" s="245"/>
      <c r="E21" s="245"/>
      <c r="F21" s="245"/>
      <c r="G21" s="245"/>
      <c r="H21" s="535"/>
      <c r="I21" s="245"/>
      <c r="J21" s="245"/>
    </row>
    <row r="22" spans="2:10">
      <c r="B22" s="29" t="s">
        <v>71</v>
      </c>
      <c r="C22" s="538">
        <f>+'Balance calefacción'!G12</f>
        <v>19.31431566000856</v>
      </c>
      <c r="D22" s="245"/>
      <c r="E22" s="245"/>
      <c r="F22" s="245"/>
      <c r="G22" s="245"/>
      <c r="H22" s="535"/>
      <c r="I22" s="245"/>
      <c r="J22" s="245"/>
    </row>
    <row r="23" spans="2:10">
      <c r="B23" s="29" t="s">
        <v>72</v>
      </c>
      <c r="C23" s="538">
        <f>+'Balance calefacción'!G13</f>
        <v>0</v>
      </c>
      <c r="D23" s="245"/>
      <c r="E23" s="245"/>
      <c r="F23" s="245"/>
      <c r="G23" s="245"/>
      <c r="H23" s="535"/>
      <c r="I23" s="245"/>
      <c r="J23" s="245"/>
    </row>
    <row r="24" spans="2:10">
      <c r="B24" s="29" t="s">
        <v>73</v>
      </c>
      <c r="C24" s="538">
        <f>+'Balance calefacción'!G14</f>
        <v>6.3929721112440703</v>
      </c>
      <c r="D24" s="245"/>
      <c r="E24" s="245"/>
      <c r="F24" s="245"/>
      <c r="G24" s="245"/>
      <c r="H24" s="535"/>
      <c r="I24" s="245"/>
      <c r="J24" s="245"/>
    </row>
    <row r="25" spans="2:10">
      <c r="B25" s="29" t="s">
        <v>89</v>
      </c>
      <c r="C25" s="538">
        <f>+'Balance calefacción'!G15</f>
        <v>5.1281831104979441</v>
      </c>
      <c r="D25" s="245"/>
      <c r="E25" s="245"/>
      <c r="F25" s="245"/>
      <c r="G25" s="245"/>
      <c r="H25" s="535"/>
      <c r="I25" s="245"/>
      <c r="J25" s="245"/>
    </row>
    <row r="26" spans="2:10">
      <c r="B26" s="29" t="s">
        <v>13</v>
      </c>
      <c r="C26" s="538">
        <f>+'Balance calefacción'!G16</f>
        <v>22.993911959837565</v>
      </c>
      <c r="D26" s="245"/>
      <c r="E26" s="245"/>
      <c r="F26" s="245"/>
      <c r="G26" s="245"/>
      <c r="H26" s="535"/>
      <c r="I26" s="245"/>
      <c r="J26" s="245"/>
    </row>
    <row r="27" spans="2:10">
      <c r="B27" s="29" t="s">
        <v>14</v>
      </c>
      <c r="C27" s="538">
        <f>+'Balance calefacción'!G17</f>
        <v>18.252028298708087</v>
      </c>
      <c r="D27" s="245"/>
      <c r="E27" s="245"/>
      <c r="F27" s="245"/>
      <c r="G27" s="245"/>
      <c r="H27" s="535"/>
      <c r="I27" s="245"/>
      <c r="J27" s="245"/>
    </row>
    <row r="28" spans="2:10">
      <c r="B28" s="527"/>
      <c r="C28" s="245"/>
      <c r="D28" s="245"/>
      <c r="E28" s="245"/>
      <c r="F28" s="245"/>
      <c r="G28" s="245"/>
      <c r="H28" s="535"/>
      <c r="I28" s="245"/>
      <c r="J28" s="245"/>
    </row>
    <row r="29" spans="2:10">
      <c r="B29" s="595" t="s">
        <v>714</v>
      </c>
      <c r="C29" s="495">
        <f>SUM(C20:C27)</f>
        <v>100</v>
      </c>
      <c r="D29" s="565" t="s">
        <v>11</v>
      </c>
      <c r="E29" s="245"/>
      <c r="F29" s="245"/>
      <c r="G29" s="245"/>
      <c r="H29" s="535"/>
      <c r="I29" s="245"/>
      <c r="J29" s="245"/>
    </row>
    <row r="30" spans="2:10" ht="13.5" thickBot="1">
      <c r="B30" s="527"/>
      <c r="C30" s="245"/>
      <c r="D30" s="245"/>
      <c r="E30" s="245"/>
      <c r="F30" s="245"/>
      <c r="G30" s="245"/>
      <c r="H30" s="535"/>
      <c r="I30" s="245"/>
      <c r="J30" s="245"/>
    </row>
    <row r="31" spans="2:10" ht="13.5" thickBot="1">
      <c r="B31" s="596" t="s">
        <v>715</v>
      </c>
      <c r="C31" s="597">
        <f>+'Balance calefacción'!F21</f>
        <v>225.99817031249998</v>
      </c>
      <c r="D31" s="598" t="s">
        <v>716</v>
      </c>
      <c r="E31" s="245"/>
      <c r="F31" s="245"/>
      <c r="G31" s="245"/>
      <c r="H31" s="535"/>
      <c r="I31" s="245"/>
      <c r="J31" s="245"/>
    </row>
    <row r="32" spans="2:10">
      <c r="B32" s="527"/>
      <c r="C32" s="245"/>
      <c r="D32" s="245"/>
      <c r="E32" s="245"/>
      <c r="F32" s="245"/>
      <c r="G32" s="245"/>
      <c r="H32" s="535"/>
      <c r="I32" s="245"/>
      <c r="J32" s="245"/>
    </row>
    <row r="33" spans="1:10">
      <c r="B33" s="527"/>
      <c r="C33" s="245"/>
      <c r="D33" s="245"/>
      <c r="E33" s="245"/>
      <c r="F33" s="245"/>
      <c r="G33" s="245"/>
      <c r="H33" s="535"/>
      <c r="I33" s="245"/>
      <c r="J33" s="245"/>
    </row>
    <row r="34" spans="1:10">
      <c r="B34" s="527"/>
      <c r="C34" s="245"/>
      <c r="D34" s="245"/>
      <c r="E34" s="245"/>
      <c r="F34" s="245"/>
      <c r="G34" s="245"/>
      <c r="H34" s="535"/>
      <c r="I34" s="245"/>
      <c r="J34" s="245"/>
    </row>
    <row r="35" spans="1:10">
      <c r="B35" s="527"/>
      <c r="C35" s="245"/>
      <c r="D35" s="245"/>
      <c r="E35" s="245"/>
      <c r="F35" s="245"/>
      <c r="G35" s="245"/>
      <c r="H35" s="535"/>
      <c r="I35" s="245"/>
      <c r="J35" s="245"/>
    </row>
    <row r="36" spans="1:10">
      <c r="B36" s="527"/>
      <c r="C36" s="245"/>
      <c r="D36" s="245"/>
      <c r="E36" s="245"/>
      <c r="F36" s="245"/>
      <c r="G36" s="245"/>
      <c r="H36" s="535"/>
      <c r="I36" s="245"/>
      <c r="J36" s="245"/>
    </row>
    <row r="37" spans="1:10" ht="13.5" thickBot="1">
      <c r="B37" s="539"/>
      <c r="C37" s="505"/>
      <c r="D37" s="505"/>
      <c r="E37" s="505"/>
      <c r="F37" s="505"/>
      <c r="G37" s="505"/>
      <c r="H37" s="506"/>
      <c r="I37" s="245"/>
      <c r="J37" s="245"/>
    </row>
    <row r="38" spans="1:10" ht="13.5" thickBot="1"/>
    <row r="39" spans="1:10">
      <c r="B39" s="540" t="s">
        <v>682</v>
      </c>
      <c r="C39" s="524"/>
      <c r="D39" s="524"/>
      <c r="E39" s="524"/>
      <c r="F39" s="524"/>
      <c r="G39" s="524"/>
      <c r="H39" s="534"/>
    </row>
    <row r="40" spans="1:10">
      <c r="B40" s="527"/>
      <c r="C40" s="245"/>
      <c r="D40" s="245"/>
      <c r="E40" s="245"/>
      <c r="F40" s="245"/>
      <c r="G40" s="245"/>
      <c r="H40" s="535"/>
    </row>
    <row r="41" spans="1:10">
      <c r="A41" s="244"/>
      <c r="B41" s="541" t="s">
        <v>683</v>
      </c>
      <c r="C41" s="293"/>
      <c r="D41" s="245"/>
      <c r="E41" s="293"/>
      <c r="F41" s="293"/>
      <c r="G41" s="542">
        <f>+'Balance calefacción'!M36</f>
        <v>18</v>
      </c>
      <c r="H41" s="543"/>
    </row>
    <row r="42" spans="1:10" ht="13.5" thickBot="1">
      <c r="A42" s="244"/>
      <c r="B42" s="544" t="s">
        <v>684</v>
      </c>
      <c r="C42" s="545"/>
      <c r="D42" s="505"/>
      <c r="E42" s="545"/>
      <c r="F42" s="545"/>
      <c r="G42" s="546">
        <f>+'Balance calefacción'!Q37</f>
        <v>0.38309097434298717</v>
      </c>
      <c r="H42" s="547"/>
    </row>
    <row r="43" spans="1:10" ht="13.5" thickBot="1">
      <c r="A43" s="244"/>
      <c r="B43" s="293"/>
      <c r="C43" s="293"/>
      <c r="D43" s="293"/>
      <c r="E43" s="293"/>
      <c r="F43" s="293"/>
      <c r="G43" s="293"/>
      <c r="H43" s="293"/>
    </row>
    <row r="44" spans="1:10">
      <c r="A44" s="244"/>
      <c r="B44" s="548" t="s">
        <v>685</v>
      </c>
      <c r="C44" s="549"/>
      <c r="D44" s="549"/>
      <c r="E44" s="549"/>
      <c r="F44" s="549"/>
      <c r="G44" s="549"/>
      <c r="H44" s="550"/>
    </row>
    <row r="45" spans="1:10">
      <c r="A45" s="244"/>
      <c r="B45" s="551"/>
      <c r="C45" s="293"/>
      <c r="D45" s="293"/>
      <c r="E45" s="293"/>
      <c r="F45" s="293"/>
      <c r="G45" s="293"/>
      <c r="H45" s="543"/>
    </row>
    <row r="46" spans="1:10">
      <c r="A46" s="244"/>
      <c r="B46" s="527"/>
      <c r="C46" s="245"/>
      <c r="D46" s="245"/>
      <c r="E46" s="293"/>
      <c r="F46" s="293"/>
      <c r="G46" s="552" t="s">
        <v>686</v>
      </c>
      <c r="H46" s="543"/>
    </row>
    <row r="47" spans="1:10">
      <c r="A47" s="244"/>
      <c r="B47" s="551"/>
      <c r="C47" s="293"/>
      <c r="D47" s="553" t="s">
        <v>687</v>
      </c>
      <c r="E47" s="554" t="s">
        <v>688</v>
      </c>
      <c r="F47" s="553" t="s">
        <v>689</v>
      </c>
      <c r="G47" s="554" t="s">
        <v>690</v>
      </c>
      <c r="H47" s="543"/>
    </row>
    <row r="48" spans="1:10">
      <c r="A48" s="244"/>
      <c r="B48" s="541" t="s">
        <v>691</v>
      </c>
      <c r="C48" s="293"/>
      <c r="D48" s="555">
        <f>+'Balance calefacción'!X8</f>
        <v>6442.9898284759274</v>
      </c>
      <c r="E48" s="554" t="s">
        <v>100</v>
      </c>
      <c r="F48" s="556">
        <f>+'Balance calefacción'!AB8</f>
        <v>147</v>
      </c>
      <c r="G48" s="557">
        <f>+F48*D48</f>
        <v>947119.50478596136</v>
      </c>
      <c r="H48" s="543"/>
    </row>
    <row r="49" spans="1:9">
      <c r="A49" s="244"/>
      <c r="B49" s="551" t="s">
        <v>322</v>
      </c>
      <c r="C49" s="293"/>
      <c r="D49" s="555">
        <f>+'Balance calefacción'!X9</f>
        <v>494.71818974408211</v>
      </c>
      <c r="E49" s="558" t="s">
        <v>692</v>
      </c>
      <c r="F49" s="556">
        <f>+'Balance calefacción'!AB9</f>
        <v>400</v>
      </c>
      <c r="G49" s="557">
        <f t="shared" ref="G49:G52" si="0">+F49*D49</f>
        <v>197887.27589763285</v>
      </c>
      <c r="H49" s="543"/>
    </row>
    <row r="50" spans="1:9">
      <c r="A50" s="244"/>
      <c r="B50" s="551" t="s">
        <v>323</v>
      </c>
      <c r="C50" s="293"/>
      <c r="D50" s="555">
        <f>+'Balance calefacción'!X10</f>
        <v>595.47040928613001</v>
      </c>
      <c r="E50" s="558" t="s">
        <v>693</v>
      </c>
      <c r="F50" s="556">
        <f>+'Balance calefacción'!AB10</f>
        <v>107.5</v>
      </c>
      <c r="G50" s="557">
        <f t="shared" si="0"/>
        <v>64013.068998258976</v>
      </c>
      <c r="H50" s="543"/>
    </row>
    <row r="51" spans="1:9">
      <c r="A51" s="244"/>
      <c r="B51" s="551" t="s">
        <v>324</v>
      </c>
      <c r="C51" s="293"/>
      <c r="D51" s="555">
        <f>+'Balance calefacción'!X11</f>
        <v>719.88713167328808</v>
      </c>
      <c r="E51" s="558" t="s">
        <v>694</v>
      </c>
      <c r="F51" s="556">
        <f>+'Balance calefacción'!AB11</f>
        <v>0</v>
      </c>
      <c r="G51" s="557">
        <f t="shared" si="0"/>
        <v>0</v>
      </c>
      <c r="H51" s="543"/>
    </row>
    <row r="52" spans="1:9" ht="13.5" thickBot="1">
      <c r="A52" s="244"/>
      <c r="B52" s="559" t="s">
        <v>325</v>
      </c>
      <c r="C52" s="545"/>
      <c r="D52" s="555">
        <f>+'Balance calefacción'!X12</f>
        <v>1851.4338587574505</v>
      </c>
      <c r="E52" s="560" t="s">
        <v>695</v>
      </c>
      <c r="F52" s="556">
        <f>+'Balance calefacción'!AB12</f>
        <v>180</v>
      </c>
      <c r="G52" s="561">
        <f t="shared" si="0"/>
        <v>333258.0945763411</v>
      </c>
      <c r="H52" s="547"/>
    </row>
    <row r="53" spans="1:9" ht="13.5" thickBot="1">
      <c r="A53" s="244"/>
      <c r="B53" s="293"/>
      <c r="C53" s="293"/>
      <c r="D53" s="293"/>
      <c r="E53" s="293"/>
      <c r="F53" s="293"/>
      <c r="G53" s="293"/>
      <c r="H53" s="293"/>
    </row>
    <row r="54" spans="1:9">
      <c r="A54" s="244"/>
      <c r="B54" s="548" t="s">
        <v>696</v>
      </c>
      <c r="C54" s="549"/>
      <c r="D54" s="549"/>
      <c r="E54" s="549"/>
      <c r="F54" s="549"/>
      <c r="G54" s="549"/>
      <c r="H54" s="550"/>
    </row>
    <row r="55" spans="1:9">
      <c r="A55" s="244"/>
      <c r="B55" s="551"/>
      <c r="C55" s="293"/>
      <c r="D55" s="293"/>
      <c r="E55" s="293"/>
      <c r="F55" s="293"/>
      <c r="G55" s="293"/>
      <c r="H55" s="543"/>
    </row>
    <row r="56" spans="1:9" ht="13.5" thickBot="1">
      <c r="A56" s="244"/>
      <c r="B56" s="544" t="s">
        <v>406</v>
      </c>
      <c r="C56" s="545"/>
      <c r="D56" s="505"/>
      <c r="E56" s="505"/>
      <c r="F56" s="545"/>
      <c r="G56" s="562">
        <f>+'Balance calefacción'!Y26</f>
        <v>7668.0193122734036</v>
      </c>
      <c r="H56" s="563" t="s">
        <v>75</v>
      </c>
    </row>
    <row r="57" spans="1:9">
      <c r="A57" s="244"/>
      <c r="B57" s="244"/>
      <c r="C57" s="244"/>
      <c r="D57" s="244"/>
      <c r="E57" s="244"/>
      <c r="F57" s="244"/>
      <c r="G57" s="244"/>
      <c r="H57" s="244"/>
    </row>
    <row r="58" spans="1:9" ht="13.5" thickBot="1"/>
    <row r="59" spans="1:9">
      <c r="A59" s="523"/>
      <c r="B59" s="564" t="s">
        <v>697</v>
      </c>
      <c r="C59" s="524"/>
      <c r="D59" s="524"/>
      <c r="E59" s="524"/>
      <c r="F59" s="524"/>
      <c r="G59" s="524"/>
      <c r="H59" s="524"/>
      <c r="I59" s="534"/>
    </row>
    <row r="60" spans="1:9">
      <c r="A60" s="527"/>
      <c r="B60" s="245"/>
      <c r="C60" s="245"/>
      <c r="D60" s="245"/>
      <c r="E60" s="245"/>
      <c r="F60" s="245"/>
      <c r="G60" s="245"/>
      <c r="H60" s="245"/>
      <c r="I60" s="535"/>
    </row>
    <row r="61" spans="1:9">
      <c r="A61" s="527"/>
      <c r="B61" s="245"/>
      <c r="C61" s="565" t="s">
        <v>698</v>
      </c>
      <c r="D61" s="245"/>
      <c r="G61" s="538">
        <f>+'Balance enfriamiento'!AD260</f>
        <v>47735.016898817354</v>
      </c>
      <c r="H61" s="565" t="s">
        <v>699</v>
      </c>
      <c r="I61" s="535"/>
    </row>
    <row r="62" spans="1:9">
      <c r="A62" s="527"/>
      <c r="B62" s="245"/>
      <c r="C62" s="565" t="s">
        <v>536</v>
      </c>
      <c r="D62" s="245"/>
      <c r="G62" s="542">
        <f>+'Balance enfriamiento'!G266</f>
        <v>23</v>
      </c>
      <c r="H62" s="565" t="s">
        <v>98</v>
      </c>
      <c r="I62" s="535"/>
    </row>
    <row r="63" spans="1:9">
      <c r="A63" s="527"/>
      <c r="B63" s="245"/>
      <c r="C63" s="245"/>
      <c r="D63" s="245"/>
      <c r="E63" s="245"/>
      <c r="F63" s="245"/>
      <c r="G63" s="245"/>
      <c r="H63" s="245"/>
      <c r="I63" s="535"/>
    </row>
    <row r="64" spans="1:9">
      <c r="A64" s="527"/>
      <c r="B64" s="245"/>
      <c r="C64" s="245"/>
      <c r="D64" s="245"/>
      <c r="E64" s="245"/>
      <c r="F64" s="245"/>
      <c r="G64" s="245"/>
      <c r="H64" s="245"/>
      <c r="I64" s="535"/>
    </row>
    <row r="65" spans="1:9">
      <c r="A65" s="527"/>
      <c r="B65" s="245"/>
      <c r="C65" s="245"/>
      <c r="D65" s="245"/>
      <c r="E65" s="245"/>
      <c r="F65" s="245"/>
      <c r="G65" s="245"/>
      <c r="H65" s="245"/>
      <c r="I65" s="535"/>
    </row>
    <row r="66" spans="1:9">
      <c r="A66" s="527"/>
      <c r="B66" s="245"/>
      <c r="C66" s="245"/>
      <c r="D66" s="245"/>
      <c r="E66" s="245"/>
      <c r="F66" s="245"/>
      <c r="G66" s="245"/>
      <c r="H66" s="245"/>
      <c r="I66" s="535"/>
    </row>
    <row r="67" spans="1:9">
      <c r="A67" s="527"/>
      <c r="B67" s="245"/>
      <c r="C67" s="245"/>
      <c r="D67" s="245"/>
      <c r="E67" s="245"/>
      <c r="F67" s="245"/>
      <c r="G67" s="245"/>
      <c r="H67" s="245"/>
      <c r="I67" s="535"/>
    </row>
    <row r="68" spans="1:9">
      <c r="A68" s="527"/>
      <c r="B68" s="245"/>
      <c r="C68" s="245"/>
      <c r="D68" s="245"/>
      <c r="E68" s="245"/>
      <c r="F68" s="245"/>
      <c r="G68" s="245"/>
      <c r="H68" s="245"/>
      <c r="I68" s="535"/>
    </row>
    <row r="69" spans="1:9">
      <c r="A69" s="527"/>
      <c r="B69" s="245"/>
      <c r="C69" s="245"/>
      <c r="D69" s="245"/>
      <c r="E69" s="245"/>
      <c r="F69" s="245"/>
      <c r="G69" s="245"/>
      <c r="H69" s="245"/>
      <c r="I69" s="535"/>
    </row>
    <row r="70" spans="1:9">
      <c r="A70" s="527"/>
      <c r="B70" s="245"/>
      <c r="C70" s="245"/>
      <c r="D70" s="245"/>
      <c r="E70" s="245"/>
      <c r="F70" s="245"/>
      <c r="G70" s="245"/>
      <c r="H70" s="245"/>
      <c r="I70" s="535"/>
    </row>
    <row r="71" spans="1:9">
      <c r="A71" s="527"/>
      <c r="B71" s="245"/>
      <c r="C71" s="245"/>
      <c r="D71" s="245"/>
      <c r="E71" s="245"/>
      <c r="F71" s="245"/>
      <c r="G71" s="245"/>
      <c r="H71" s="245"/>
      <c r="I71" s="535"/>
    </row>
    <row r="72" spans="1:9">
      <c r="A72" s="527"/>
      <c r="B72" s="245"/>
      <c r="C72" s="245"/>
      <c r="D72" s="245"/>
      <c r="E72" s="245"/>
      <c r="F72" s="245"/>
      <c r="G72" s="245"/>
      <c r="H72" s="245"/>
      <c r="I72" s="535"/>
    </row>
    <row r="73" spans="1:9">
      <c r="A73" s="527"/>
      <c r="B73" s="245"/>
      <c r="C73" s="245"/>
      <c r="D73" s="245"/>
      <c r="E73" s="245"/>
      <c r="F73" s="245"/>
      <c r="G73" s="245"/>
      <c r="H73" s="245"/>
      <c r="I73" s="535"/>
    </row>
    <row r="74" spans="1:9">
      <c r="A74" s="527"/>
      <c r="B74" s="245"/>
      <c r="C74" s="245"/>
      <c r="D74" s="245"/>
      <c r="E74" s="245"/>
      <c r="F74" s="245"/>
      <c r="G74" s="245"/>
      <c r="H74" s="245"/>
      <c r="I74" s="535"/>
    </row>
    <row r="75" spans="1:9">
      <c r="A75" s="527"/>
      <c r="B75" s="245"/>
      <c r="C75" s="245"/>
      <c r="D75" s="245"/>
      <c r="E75" s="245"/>
      <c r="F75" s="245"/>
      <c r="G75" s="245"/>
      <c r="H75" s="245"/>
      <c r="I75" s="535"/>
    </row>
    <row r="76" spans="1:9">
      <c r="A76" s="527"/>
      <c r="B76" s="245"/>
      <c r="C76" s="245"/>
      <c r="D76" s="245"/>
      <c r="E76" s="245"/>
      <c r="F76" s="245"/>
      <c r="G76" s="245"/>
      <c r="H76" s="245"/>
      <c r="I76" s="535"/>
    </row>
    <row r="77" spans="1:9">
      <c r="A77" s="527"/>
      <c r="B77" s="245"/>
      <c r="C77" s="245"/>
      <c r="D77" s="245"/>
      <c r="E77" s="245"/>
      <c r="F77" s="245"/>
      <c r="G77" s="245"/>
      <c r="H77" s="245"/>
      <c r="I77" s="535"/>
    </row>
    <row r="78" spans="1:9">
      <c r="A78" s="527"/>
      <c r="B78" s="245"/>
      <c r="C78" s="245"/>
      <c r="D78" s="245"/>
      <c r="E78" s="245"/>
      <c r="F78" s="245"/>
      <c r="G78" s="245"/>
      <c r="H78" s="245"/>
      <c r="I78" s="535"/>
    </row>
    <row r="79" spans="1:9">
      <c r="A79" s="527"/>
      <c r="B79" s="245"/>
      <c r="C79" s="245"/>
      <c r="D79" s="245"/>
      <c r="E79" s="245"/>
      <c r="F79" s="245"/>
      <c r="G79" s="245"/>
      <c r="H79" s="245"/>
      <c r="I79" s="535"/>
    </row>
    <row r="80" spans="1:9">
      <c r="A80" s="527"/>
      <c r="B80" s="566" t="s">
        <v>700</v>
      </c>
      <c r="C80" s="245"/>
      <c r="D80" s="245"/>
      <c r="E80" s="245"/>
      <c r="F80" s="245"/>
      <c r="G80" s="245"/>
      <c r="H80" s="245"/>
      <c r="I80" s="535"/>
    </row>
    <row r="81" spans="1:9" ht="13.5" thickBot="1">
      <c r="A81" s="527"/>
      <c r="B81" s="245"/>
      <c r="C81" s="245"/>
      <c r="D81" s="245"/>
      <c r="E81" s="245"/>
      <c r="F81" s="245"/>
      <c r="G81" s="245"/>
      <c r="H81" s="245"/>
      <c r="I81" s="535"/>
    </row>
    <row r="82" spans="1:9">
      <c r="A82" s="527"/>
      <c r="B82" s="293"/>
      <c r="C82" s="567" t="s">
        <v>224</v>
      </c>
      <c r="D82" s="293"/>
      <c r="E82" s="293"/>
      <c r="F82" s="538">
        <f>+'Balance enfriamiento'!D264</f>
        <v>7389.5804661578404</v>
      </c>
      <c r="G82" s="293" t="str">
        <f>+'[1]Balance enfriamiento'!E235</f>
        <v>W</v>
      </c>
      <c r="H82" s="293"/>
      <c r="I82" s="535"/>
    </row>
    <row r="83" spans="1:9">
      <c r="A83" s="527"/>
      <c r="B83" s="293"/>
      <c r="C83" s="568" t="s">
        <v>280</v>
      </c>
      <c r="D83" s="293"/>
      <c r="E83" s="293"/>
      <c r="F83" s="538">
        <f>+'Balance enfriamiento'!D265</f>
        <v>6355.1098132270008</v>
      </c>
      <c r="G83" s="293" t="str">
        <f>+'[1]Balance enfriamiento'!E236</f>
        <v>frig./hora</v>
      </c>
      <c r="H83" s="293"/>
      <c r="I83" s="535"/>
    </row>
    <row r="84" spans="1:9" ht="13.5" thickBot="1">
      <c r="A84" s="527"/>
      <c r="B84" s="293"/>
      <c r="C84" s="569" t="s">
        <v>281</v>
      </c>
      <c r="D84" s="293"/>
      <c r="E84" s="293"/>
      <c r="F84" s="538">
        <f>+'Balance enfriamiento'!D266</f>
        <v>2.1183699377423335</v>
      </c>
      <c r="G84" s="293" t="str">
        <f>+'[1]Balance enfriamiento'!E237</f>
        <v>Ton.refrig.</v>
      </c>
      <c r="H84" s="293"/>
      <c r="I84" s="535"/>
    </row>
    <row r="85" spans="1:9" ht="13.5" thickBot="1">
      <c r="A85" s="539"/>
      <c r="B85" s="545"/>
      <c r="C85" s="545"/>
      <c r="D85" s="545"/>
      <c r="E85" s="545"/>
      <c r="F85" s="545"/>
      <c r="G85" s="545"/>
      <c r="H85" s="545"/>
      <c r="I85" s="506"/>
    </row>
    <row r="86" spans="1:9" ht="13.5" thickBot="1">
      <c r="B86" s="244"/>
      <c r="C86" s="244"/>
      <c r="D86" s="244"/>
      <c r="E86" s="244"/>
      <c r="F86" s="244"/>
      <c r="G86" s="244"/>
      <c r="H86" s="244"/>
    </row>
    <row r="87" spans="1:9">
      <c r="A87" s="523"/>
      <c r="B87" s="570" t="s">
        <v>701</v>
      </c>
      <c r="C87" s="549"/>
      <c r="D87" s="549"/>
      <c r="E87" s="549"/>
      <c r="F87" s="549"/>
      <c r="G87" s="549"/>
      <c r="H87" s="549"/>
      <c r="I87" s="534"/>
    </row>
    <row r="88" spans="1:9">
      <c r="A88" s="527"/>
      <c r="B88" s="293"/>
      <c r="C88" s="293"/>
      <c r="D88" s="293"/>
      <c r="E88" s="293"/>
      <c r="F88" s="293"/>
      <c r="G88" s="293"/>
      <c r="H88" s="293"/>
      <c r="I88" s="535"/>
    </row>
    <row r="89" spans="1:9" ht="13.5" thickBot="1">
      <c r="A89" s="527"/>
      <c r="B89" s="558" t="s">
        <v>702</v>
      </c>
      <c r="C89" s="293"/>
      <c r="D89" s="293"/>
      <c r="E89" s="293"/>
      <c r="F89" s="293"/>
      <c r="G89" s="293"/>
      <c r="H89" s="293"/>
      <c r="I89" s="535"/>
    </row>
    <row r="90" spans="1:9">
      <c r="A90" s="527"/>
      <c r="B90" s="297"/>
      <c r="C90" s="567" t="s">
        <v>504</v>
      </c>
      <c r="D90" s="571"/>
      <c r="E90" s="567" t="s">
        <v>505</v>
      </c>
      <c r="F90" s="572"/>
      <c r="G90" s="573" t="s">
        <v>506</v>
      </c>
      <c r="H90" s="550"/>
      <c r="I90" s="535"/>
    </row>
    <row r="91" spans="1:9" ht="13.5" thickBot="1">
      <c r="A91" s="527"/>
      <c r="B91" s="297"/>
      <c r="C91" s="574" t="s">
        <v>108</v>
      </c>
      <c r="D91" s="575" t="s">
        <v>503</v>
      </c>
      <c r="E91" s="574" t="s">
        <v>108</v>
      </c>
      <c r="F91" s="575" t="s">
        <v>503</v>
      </c>
      <c r="G91" s="574" t="s">
        <v>108</v>
      </c>
      <c r="H91" s="575" t="s">
        <v>503</v>
      </c>
      <c r="I91" s="535"/>
    </row>
    <row r="92" spans="1:9" ht="13.5" thickBot="1">
      <c r="A92" s="527"/>
      <c r="B92" s="576" t="s">
        <v>318</v>
      </c>
      <c r="C92" s="577">
        <f>+'Enf. convectivo nocturno'!C121</f>
        <v>4.3733958486847371</v>
      </c>
      <c r="D92" s="578">
        <f>+'Enf. convectivo nocturno'!D121</f>
        <v>4.0076937903182015E-2</v>
      </c>
      <c r="E92" s="577">
        <f>+'Enf. convectivo nocturno'!E121</f>
        <v>8.7467916973694742</v>
      </c>
      <c r="F92" s="578">
        <f>+'Enf. convectivo nocturno'!F121</f>
        <v>8.0153875806364031E-2</v>
      </c>
      <c r="G92" s="577">
        <f>+'Enf. convectivo nocturno'!G121</f>
        <v>13.120187546054211</v>
      </c>
      <c r="H92" s="578">
        <f>+'Enf. convectivo nocturno'!H121</f>
        <v>0.12023081370954605</v>
      </c>
      <c r="I92" s="535"/>
    </row>
    <row r="93" spans="1:9" ht="13.5" thickBot="1">
      <c r="A93" s="527"/>
      <c r="B93" s="579" t="s">
        <v>319</v>
      </c>
      <c r="C93" s="577">
        <f>+'Enf. convectivo nocturno'!C122</f>
        <v>3.7722629102586733</v>
      </c>
      <c r="D93" s="578">
        <f>+'Enf. convectivo nocturno'!D122</f>
        <v>3.4568274091717512E-2</v>
      </c>
      <c r="E93" s="577">
        <f>+'Enf. convectivo nocturno'!E122</f>
        <v>7.5445258205173467</v>
      </c>
      <c r="F93" s="578">
        <f>+'Enf. convectivo nocturno'!F122</f>
        <v>6.9136548183435023E-2</v>
      </c>
      <c r="G93" s="577">
        <f>+'Enf. convectivo nocturno'!G122</f>
        <v>11.31678873077602</v>
      </c>
      <c r="H93" s="578">
        <f>+'Enf. convectivo nocturno'!H122</f>
        <v>0.10370482227515254</v>
      </c>
      <c r="I93" s="535"/>
    </row>
    <row r="94" spans="1:9">
      <c r="A94" s="527"/>
      <c r="B94" s="580" t="s">
        <v>509</v>
      </c>
      <c r="C94" s="297"/>
      <c r="D94" s="297"/>
      <c r="E94" s="297"/>
      <c r="F94" s="297"/>
      <c r="G94" s="293"/>
      <c r="H94" s="293"/>
      <c r="I94" s="535"/>
    </row>
    <row r="95" spans="1:9">
      <c r="A95" s="527"/>
      <c r="B95" s="580" t="s">
        <v>510</v>
      </c>
      <c r="C95" s="297"/>
      <c r="D95" s="297"/>
      <c r="E95" s="297"/>
      <c r="F95" s="297"/>
      <c r="G95" s="297"/>
      <c r="H95" s="293"/>
      <c r="I95" s="535"/>
    </row>
    <row r="96" spans="1:9">
      <c r="A96" s="527"/>
      <c r="B96" s="580"/>
      <c r="C96" s="297"/>
      <c r="D96" s="297"/>
      <c r="E96" s="297"/>
      <c r="F96" s="297"/>
      <c r="G96" s="297"/>
      <c r="H96" s="293"/>
      <c r="I96" s="535"/>
    </row>
    <row r="97" spans="1:9" ht="14.25">
      <c r="A97" s="527"/>
      <c r="B97" s="296" t="s">
        <v>703</v>
      </c>
      <c r="C97" s="297"/>
      <c r="D97" s="297" t="str">
        <f>+'[1]Masa Térmica'!G20</f>
        <v>Muros</v>
      </c>
      <c r="E97" s="581">
        <f>+'Masa Térmica'!G21</f>
        <v>100</v>
      </c>
      <c r="F97" s="580" t="s">
        <v>704</v>
      </c>
      <c r="G97" s="581" t="str">
        <f>IF(E97=0,"  ",+'Masa Térmica'!F22)</f>
        <v>Piedra:</v>
      </c>
      <c r="H97" s="293"/>
      <c r="I97" s="535"/>
    </row>
    <row r="98" spans="1:9" ht="14.25">
      <c r="A98" s="527"/>
      <c r="B98" s="580"/>
      <c r="C98" s="297"/>
      <c r="D98" s="297" t="str">
        <f>+'[1]Masa Térmica'!I20</f>
        <v>Pisos</v>
      </c>
      <c r="E98" s="581">
        <f>+'Masa Térmica'!I21</f>
        <v>109.12499999999999</v>
      </c>
      <c r="F98" s="580" t="s">
        <v>704</v>
      </c>
      <c r="G98" s="581" t="str">
        <f>IF(E98=0,"  ",+'Masa Térmica'!H22)</f>
        <v>Concreto:</v>
      </c>
      <c r="H98" s="293"/>
      <c r="I98" s="535"/>
    </row>
    <row r="99" spans="1:9" ht="15" thickBot="1">
      <c r="A99" s="539"/>
      <c r="B99" s="545"/>
      <c r="C99" s="545"/>
      <c r="D99" s="560" t="s">
        <v>724</v>
      </c>
      <c r="E99" s="622">
        <f>+'Masa Térmica'!K21</f>
        <v>148</v>
      </c>
      <c r="F99" s="621" t="s">
        <v>704</v>
      </c>
      <c r="G99" s="622" t="str">
        <f>IF(E99=0,"  ",+'Masa Térmica'!J22)</f>
        <v>Concrehaus</v>
      </c>
      <c r="H99" s="545"/>
      <c r="I99" s="506"/>
    </row>
    <row r="100" spans="1:9">
      <c r="B100" s="244"/>
      <c r="C100" s="244"/>
      <c r="D100" s="244"/>
      <c r="E100" s="244"/>
      <c r="F100" s="244"/>
      <c r="G100" s="244"/>
      <c r="H100" s="244"/>
    </row>
    <row r="101" spans="1:9" ht="13.5" thickBot="1"/>
    <row r="102" spans="1:9">
      <c r="A102" s="523"/>
      <c r="B102" s="582" t="s">
        <v>705</v>
      </c>
      <c r="C102" s="549"/>
      <c r="D102" s="549"/>
      <c r="E102" s="549"/>
      <c r="F102" s="549"/>
      <c r="G102" s="549"/>
      <c r="H102" s="549"/>
      <c r="I102" s="534"/>
    </row>
    <row r="103" spans="1:9" ht="13.5" thickBot="1">
      <c r="A103" s="527"/>
      <c r="B103" s="293"/>
      <c r="C103" s="293"/>
      <c r="D103" s="293"/>
      <c r="E103" s="293"/>
      <c r="F103" s="293"/>
      <c r="G103" s="293"/>
      <c r="H103" s="293"/>
      <c r="I103" s="535"/>
    </row>
    <row r="104" spans="1:9">
      <c r="A104" s="527"/>
      <c r="B104" s="297"/>
      <c r="C104" s="567" t="s">
        <v>504</v>
      </c>
      <c r="D104" s="571"/>
      <c r="E104" s="567" t="s">
        <v>505</v>
      </c>
      <c r="F104" s="572"/>
      <c r="G104" s="573" t="s">
        <v>506</v>
      </c>
      <c r="H104" s="550"/>
      <c r="I104" s="535"/>
    </row>
    <row r="105" spans="1:9" ht="13.5" thickBot="1">
      <c r="A105" s="527"/>
      <c r="B105" s="297"/>
      <c r="C105" s="574" t="s">
        <v>108</v>
      </c>
      <c r="D105" s="575" t="s">
        <v>503</v>
      </c>
      <c r="E105" s="574" t="s">
        <v>108</v>
      </c>
      <c r="F105" s="575" t="s">
        <v>503</v>
      </c>
      <c r="G105" s="574" t="s">
        <v>108</v>
      </c>
      <c r="H105" s="575" t="s">
        <v>503</v>
      </c>
      <c r="I105" s="535"/>
    </row>
    <row r="106" spans="1:9" ht="13.5" thickBot="1">
      <c r="A106" s="527"/>
      <c r="B106" s="576" t="s">
        <v>318</v>
      </c>
      <c r="C106" s="577">
        <f>+'Ventilación natural'!C115</f>
        <v>1.0021731716467446</v>
      </c>
      <c r="D106" s="578">
        <f>+'Ventilación natural'!D115</f>
        <v>9.1837174950446243E-3</v>
      </c>
      <c r="E106" s="577">
        <f>+'Ventilación natural'!E115</f>
        <v>2.0043463432934892</v>
      </c>
      <c r="F106" s="578">
        <f>+'Ventilación natural'!F115</f>
        <v>1.8367434990089249E-2</v>
      </c>
      <c r="G106" s="577">
        <f>+'Ventilación natural'!G115</f>
        <v>3.0065195149402335</v>
      </c>
      <c r="H106" s="578">
        <f>+'Ventilación natural'!H115</f>
        <v>2.7551152485133873E-2</v>
      </c>
      <c r="I106" s="535"/>
    </row>
    <row r="107" spans="1:9" ht="13.5" thickBot="1">
      <c r="A107" s="527"/>
      <c r="B107" s="579" t="s">
        <v>319</v>
      </c>
      <c r="C107" s="577">
        <f>+'Ventilación natural'!C116</f>
        <v>0.86442225123441696</v>
      </c>
      <c r="D107" s="578">
        <f>+'Ventilación natural'!D116</f>
        <v>7.9213952003153905E-3</v>
      </c>
      <c r="E107" s="577">
        <f>+'Ventilación natural'!E116</f>
        <v>1.7288445024688339</v>
      </c>
      <c r="F107" s="578">
        <f>+'Ventilación natural'!F116</f>
        <v>1.5842790400630781E-2</v>
      </c>
      <c r="G107" s="577">
        <f>+'Ventilación natural'!G116</f>
        <v>2.5932667537032508</v>
      </c>
      <c r="H107" s="578">
        <f>+'Ventilación natural'!H116</f>
        <v>2.3764185600946171E-2</v>
      </c>
      <c r="I107" s="535"/>
    </row>
    <row r="108" spans="1:9">
      <c r="A108" s="527"/>
      <c r="B108" s="580" t="s">
        <v>706</v>
      </c>
      <c r="C108" s="297"/>
      <c r="D108" s="297"/>
      <c r="E108" s="297"/>
      <c r="F108" s="297"/>
      <c r="G108" s="293"/>
      <c r="H108" s="293"/>
      <c r="I108" s="535"/>
    </row>
    <row r="109" spans="1:9">
      <c r="A109" s="527"/>
      <c r="B109" s="580" t="s">
        <v>510</v>
      </c>
      <c r="C109" s="297"/>
      <c r="D109" s="297"/>
      <c r="E109" s="297"/>
      <c r="F109" s="297"/>
      <c r="G109" s="297"/>
      <c r="H109" s="293"/>
      <c r="I109" s="535"/>
    </row>
    <row r="110" spans="1:9" ht="13.5" thickBot="1">
      <c r="A110" s="539"/>
      <c r="B110" s="545"/>
      <c r="C110" s="545"/>
      <c r="D110" s="545"/>
      <c r="E110" s="545"/>
      <c r="F110" s="545"/>
      <c r="G110" s="545"/>
      <c r="H110" s="545"/>
      <c r="I110" s="506"/>
    </row>
    <row r="111" spans="1:9">
      <c r="B111" s="244"/>
      <c r="C111" s="244"/>
      <c r="D111" s="244"/>
      <c r="E111" s="244"/>
      <c r="F111" s="244"/>
      <c r="G111" s="244"/>
      <c r="H111" s="244"/>
    </row>
  </sheetData>
  <sheetProtection algorithmName="SHA-512" hashValue="TVxxJBCTuarNIe2xgNkt7IMlr9FSipqF0iu1K0T3zcvzQ8NVuKAR6B32mft3VxDMYywisJuolZZvuer7UaxD5A==" saltValue="JVlrTqYFLNO7+NEiA1Z11g==" spinCount="100000" sheet="1" objects="1" scenarios="1"/>
  <mergeCells count="1">
    <mergeCell ref="B2:H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C71"/>
  <sheetViews>
    <sheetView zoomScaleNormal="100" workbookViewId="0">
      <selection activeCell="M18" sqref="M18"/>
    </sheetView>
  </sheetViews>
  <sheetFormatPr baseColWidth="10" defaultColWidth="9.140625" defaultRowHeight="12.75"/>
  <cols>
    <col min="1" max="1" width="24.85546875" customWidth="1"/>
    <col min="2" max="3" width="15.7109375" customWidth="1"/>
    <col min="4" max="4" width="7.85546875" customWidth="1"/>
    <col min="5" max="5" width="6.7109375" customWidth="1"/>
    <col min="6" max="6" width="7.42578125" customWidth="1"/>
    <col min="7" max="7" width="8.7109375" customWidth="1"/>
    <col min="8" max="8" width="10.7109375" customWidth="1"/>
    <col min="9" max="9" width="3.140625" customWidth="1"/>
    <col min="10" max="10" width="5.7109375" customWidth="1"/>
    <col min="11" max="11" width="4.7109375" customWidth="1"/>
  </cols>
  <sheetData>
    <row r="1" spans="1:81">
      <c r="A1" s="6" t="s">
        <v>269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</row>
    <row r="2" spans="1:81">
      <c r="A2" s="140" t="s">
        <v>350</v>
      </c>
      <c r="B2" s="140"/>
      <c r="C2" s="140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>
      <c r="A3" s="140"/>
      <c r="B3" s="140"/>
      <c r="C3" s="140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</row>
    <row r="4" spans="1:81">
      <c r="A4" s="8" t="s">
        <v>29</v>
      </c>
      <c r="B4" s="38"/>
      <c r="C4" s="38"/>
      <c r="D4" s="9"/>
      <c r="E4" s="9"/>
      <c r="F4" s="9"/>
      <c r="G4" s="9"/>
      <c r="H4" s="9"/>
      <c r="I4" s="9"/>
      <c r="J4" s="9"/>
      <c r="K4" s="10"/>
      <c r="L4" s="7"/>
      <c r="M4" s="591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spans="1:81">
      <c r="A5" s="11"/>
      <c r="B5" s="644" t="s">
        <v>725</v>
      </c>
      <c r="C5" s="623"/>
      <c r="D5" s="647" t="s">
        <v>726</v>
      </c>
      <c r="E5" s="648"/>
      <c r="F5" s="644" t="s">
        <v>727</v>
      </c>
      <c r="G5" s="644" t="s">
        <v>728</v>
      </c>
      <c r="H5" s="647" t="s">
        <v>0</v>
      </c>
      <c r="I5" s="10"/>
      <c r="J5" s="638" t="s">
        <v>77</v>
      </c>
      <c r="K5" s="639"/>
      <c r="L5" s="7"/>
      <c r="M5" s="591" t="s">
        <v>713</v>
      </c>
      <c r="N5" s="592">
        <v>2.4</v>
      </c>
      <c r="O5" s="140" t="s">
        <v>470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spans="1:81">
      <c r="A6" s="11"/>
      <c r="B6" s="645"/>
      <c r="C6" s="624" t="s">
        <v>731</v>
      </c>
      <c r="D6" s="649"/>
      <c r="E6" s="650"/>
      <c r="F6" s="645"/>
      <c r="G6" s="645"/>
      <c r="H6" s="651"/>
      <c r="I6" s="19"/>
      <c r="J6" s="640"/>
      <c r="K6" s="641"/>
      <c r="L6" s="7"/>
      <c r="M6" s="591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spans="1:81">
      <c r="A7" s="14"/>
      <c r="B7" s="646"/>
      <c r="C7" s="624"/>
      <c r="D7" s="141" t="s">
        <v>23</v>
      </c>
      <c r="E7" s="142" t="s">
        <v>24</v>
      </c>
      <c r="F7" s="646"/>
      <c r="G7" s="646"/>
      <c r="H7" s="652"/>
      <c r="I7" s="144"/>
      <c r="J7" s="642"/>
      <c r="K7" s="643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spans="1:81">
      <c r="A8" s="16" t="s">
        <v>1</v>
      </c>
      <c r="B8" s="627">
        <v>11.25</v>
      </c>
      <c r="C8" s="587">
        <v>3</v>
      </c>
      <c r="D8" s="589">
        <f>B8*C8-F8-G8-E8</f>
        <v>15.75</v>
      </c>
      <c r="E8" s="628">
        <v>0</v>
      </c>
      <c r="F8" s="629">
        <f>0*0</f>
        <v>0</v>
      </c>
      <c r="G8" s="630">
        <v>18</v>
      </c>
      <c r="H8" s="146">
        <f t="shared" ref="H8:H15" si="0">+SUM(D8:G8)</f>
        <v>33.75</v>
      </c>
      <c r="I8" s="147" t="s">
        <v>27</v>
      </c>
      <c r="J8" s="51">
        <f t="shared" ref="J8:J15" si="1">+H8/$H$19*100</f>
        <v>14.372404982433729</v>
      </c>
      <c r="K8" s="148" t="s">
        <v>11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spans="1:81">
      <c r="A9" s="16" t="s">
        <v>351</v>
      </c>
      <c r="B9" s="631"/>
      <c r="C9" s="588"/>
      <c r="D9" s="590">
        <f t="shared" ref="D9:D15" si="2">B9*C9-F9-G9-E9</f>
        <v>0</v>
      </c>
      <c r="E9" s="632">
        <v>0</v>
      </c>
      <c r="F9" s="632">
        <f t="shared" ref="F9:F15" si="3">0*0</f>
        <v>0</v>
      </c>
      <c r="G9" s="633">
        <v>0</v>
      </c>
      <c r="H9" s="146">
        <f t="shared" si="0"/>
        <v>0</v>
      </c>
      <c r="I9" s="147" t="s">
        <v>27</v>
      </c>
      <c r="J9" s="51">
        <f t="shared" si="1"/>
        <v>0</v>
      </c>
      <c r="K9" s="148" t="s">
        <v>11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spans="1:81">
      <c r="A10" s="16" t="s">
        <v>3</v>
      </c>
      <c r="B10" s="631">
        <v>9.6999999999999993</v>
      </c>
      <c r="C10" s="588">
        <v>3</v>
      </c>
      <c r="D10" s="590">
        <f t="shared" si="2"/>
        <v>9.3299999999999983</v>
      </c>
      <c r="E10" s="632">
        <v>15</v>
      </c>
      <c r="F10" s="632">
        <f>0.9*2.1</f>
        <v>1.8900000000000001</v>
      </c>
      <c r="G10" s="633">
        <f>1.2*2.4</f>
        <v>2.88</v>
      </c>
      <c r="H10" s="146">
        <f t="shared" si="0"/>
        <v>29.099999999999998</v>
      </c>
      <c r="I10" s="147" t="s">
        <v>27</v>
      </c>
      <c r="J10" s="51">
        <f t="shared" si="1"/>
        <v>12.392206962631747</v>
      </c>
      <c r="K10" s="148" t="s">
        <v>11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spans="1:81">
      <c r="A11" s="16" t="s">
        <v>352</v>
      </c>
      <c r="B11" s="631"/>
      <c r="C11" s="588"/>
      <c r="D11" s="590">
        <f t="shared" si="2"/>
        <v>0</v>
      </c>
      <c r="E11" s="632">
        <v>0</v>
      </c>
      <c r="F11" s="632">
        <f t="shared" si="3"/>
        <v>0</v>
      </c>
      <c r="G11" s="633">
        <v>0</v>
      </c>
      <c r="H11" s="146">
        <f t="shared" si="0"/>
        <v>0</v>
      </c>
      <c r="I11" s="147" t="s">
        <v>27</v>
      </c>
      <c r="J11" s="51">
        <f t="shared" si="1"/>
        <v>0</v>
      </c>
      <c r="K11" s="148" t="s">
        <v>11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1">
      <c r="A12" s="16" t="s">
        <v>5</v>
      </c>
      <c r="B12" s="631">
        <v>11.25</v>
      </c>
      <c r="C12" s="588">
        <v>3</v>
      </c>
      <c r="D12" s="590">
        <f t="shared" si="2"/>
        <v>27.89</v>
      </c>
      <c r="E12" s="632">
        <v>0</v>
      </c>
      <c r="F12" s="632">
        <v>2.5</v>
      </c>
      <c r="G12" s="633">
        <f>(1.2*2.4)+((0.4*0.6)*2)</f>
        <v>3.36</v>
      </c>
      <c r="H12" s="146">
        <f t="shared" si="0"/>
        <v>33.75</v>
      </c>
      <c r="I12" s="147" t="s">
        <v>27</v>
      </c>
      <c r="J12" s="51">
        <f t="shared" si="1"/>
        <v>14.372404982433729</v>
      </c>
      <c r="K12" s="148" t="s">
        <v>11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spans="1:81">
      <c r="A13" s="16" t="s">
        <v>353</v>
      </c>
      <c r="B13" s="631"/>
      <c r="C13" s="588"/>
      <c r="D13" s="590">
        <f t="shared" si="2"/>
        <v>0</v>
      </c>
      <c r="E13" s="632">
        <v>0</v>
      </c>
      <c r="F13" s="632">
        <f t="shared" si="3"/>
        <v>0</v>
      </c>
      <c r="G13" s="633">
        <v>0</v>
      </c>
      <c r="H13" s="146">
        <f t="shared" si="0"/>
        <v>0</v>
      </c>
      <c r="I13" s="147" t="s">
        <v>27</v>
      </c>
      <c r="J13" s="51">
        <f t="shared" si="1"/>
        <v>0</v>
      </c>
      <c r="K13" s="148" t="s">
        <v>11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</row>
    <row r="14" spans="1:81">
      <c r="A14" s="16" t="s">
        <v>4</v>
      </c>
      <c r="B14" s="631">
        <v>9.6999999999999993</v>
      </c>
      <c r="C14" s="588">
        <v>3</v>
      </c>
      <c r="D14" s="590">
        <f t="shared" si="2"/>
        <v>29.099999999999998</v>
      </c>
      <c r="E14" s="632">
        <v>0</v>
      </c>
      <c r="F14" s="632">
        <f t="shared" si="3"/>
        <v>0</v>
      </c>
      <c r="G14" s="633">
        <v>0</v>
      </c>
      <c r="H14" s="146">
        <f>+SUM(D14:G14)</f>
        <v>29.099999999999998</v>
      </c>
      <c r="I14" s="147" t="s">
        <v>27</v>
      </c>
      <c r="J14" s="51">
        <f t="shared" si="1"/>
        <v>12.392206962631747</v>
      </c>
      <c r="K14" s="148" t="s">
        <v>11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</row>
    <row r="15" spans="1:81">
      <c r="A15" s="16" t="s">
        <v>354</v>
      </c>
      <c r="B15" s="634"/>
      <c r="C15" s="625"/>
      <c r="D15" s="626">
        <f t="shared" si="2"/>
        <v>0</v>
      </c>
      <c r="E15" s="635">
        <v>0</v>
      </c>
      <c r="F15" s="635">
        <f t="shared" si="3"/>
        <v>0</v>
      </c>
      <c r="G15" s="636">
        <v>0</v>
      </c>
      <c r="H15" s="146">
        <f t="shared" si="0"/>
        <v>0</v>
      </c>
      <c r="I15" s="147" t="s">
        <v>27</v>
      </c>
      <c r="J15" s="51">
        <f t="shared" si="1"/>
        <v>0</v>
      </c>
      <c r="K15" s="148" t="s">
        <v>11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</row>
    <row r="16" spans="1:81">
      <c r="A16" s="16" t="s">
        <v>79</v>
      </c>
      <c r="B16" s="44"/>
      <c r="C16" s="44"/>
      <c r="D16" s="52">
        <f>SUM(D8:D15)</f>
        <v>82.07</v>
      </c>
      <c r="E16" s="52">
        <f>SUM(E8:E15)</f>
        <v>15</v>
      </c>
      <c r="F16" s="52">
        <f>SUM(F8:F15)</f>
        <v>4.3900000000000006</v>
      </c>
      <c r="G16" s="52">
        <f>SUM(G8:G15)</f>
        <v>24.24</v>
      </c>
      <c r="H16" s="52">
        <f>SUM(H8:H15)</f>
        <v>125.69999999999999</v>
      </c>
      <c r="I16" s="147" t="s">
        <v>27</v>
      </c>
      <c r="J16" s="51" t="s">
        <v>2</v>
      </c>
      <c r="K16" s="14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</row>
    <row r="17" spans="1:81">
      <c r="A17" s="11"/>
      <c r="B17" s="17"/>
      <c r="C17" s="17"/>
      <c r="D17" s="52"/>
      <c r="E17" s="52"/>
      <c r="F17" s="52"/>
      <c r="G17" s="52"/>
      <c r="H17" s="52"/>
      <c r="I17" s="149"/>
      <c r="J17" s="51"/>
      <c r="K17" s="14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</row>
    <row r="18" spans="1:81">
      <c r="A18" s="16" t="s">
        <v>6</v>
      </c>
      <c r="B18" s="44"/>
      <c r="C18" s="44"/>
      <c r="D18" s="593">
        <f>11.25*9.7</f>
        <v>109.12499999999999</v>
      </c>
      <c r="E18" s="145">
        <v>0</v>
      </c>
      <c r="F18" s="52" t="s">
        <v>27</v>
      </c>
      <c r="G18" s="52"/>
      <c r="H18" s="146">
        <f>+SUM(D18:G18)</f>
        <v>109.12499999999999</v>
      </c>
      <c r="I18" s="149" t="s">
        <v>27</v>
      </c>
      <c r="J18" s="51">
        <f>+H18/$H$19*100</f>
        <v>46.47077610986905</v>
      </c>
      <c r="K18" s="148" t="s">
        <v>11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</row>
    <row r="19" spans="1:81">
      <c r="A19" s="21" t="s">
        <v>78</v>
      </c>
      <c r="B19" s="585"/>
      <c r="C19" s="585"/>
      <c r="D19" s="52" t="s">
        <v>2</v>
      </c>
      <c r="E19" s="52" t="s">
        <v>2</v>
      </c>
      <c r="F19" s="52" t="s">
        <v>2</v>
      </c>
      <c r="G19" s="52" t="s">
        <v>2</v>
      </c>
      <c r="H19" s="146">
        <f>+H18+H16</f>
        <v>234.82499999999999</v>
      </c>
      <c r="I19" s="149" t="s">
        <v>27</v>
      </c>
      <c r="J19" s="51">
        <f>SUM(J8:J18)</f>
        <v>100</v>
      </c>
      <c r="K19" s="148" t="s">
        <v>11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</row>
    <row r="20" spans="1:81">
      <c r="A20" s="16"/>
      <c r="B20" s="44"/>
      <c r="C20" s="44"/>
      <c r="D20" s="20"/>
      <c r="E20" s="20"/>
      <c r="F20" s="20"/>
      <c r="G20" s="20"/>
      <c r="H20" s="22"/>
      <c r="I20" s="17"/>
      <c r="J20" s="18"/>
      <c r="K20" s="19"/>
      <c r="L20" s="7"/>
      <c r="M20" s="7" t="s">
        <v>2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</row>
    <row r="21" spans="1:81">
      <c r="A21" s="16" t="s">
        <v>74</v>
      </c>
      <c r="B21" s="44"/>
      <c r="C21" s="44"/>
      <c r="D21" s="593">
        <f>11.25*2+9.7*2</f>
        <v>41.9</v>
      </c>
      <c r="E21" s="20" t="s">
        <v>121</v>
      </c>
      <c r="F21" s="20"/>
      <c r="G21" s="20"/>
      <c r="H21" s="20"/>
      <c r="I21" s="17"/>
      <c r="J21" s="17"/>
      <c r="K21" s="19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</row>
    <row r="22" spans="1:81" ht="14.25">
      <c r="A22" s="16" t="s">
        <v>25</v>
      </c>
      <c r="B22" s="44"/>
      <c r="C22" s="44"/>
      <c r="D22" s="593">
        <f>+D23*N5</f>
        <v>261.89999999999998</v>
      </c>
      <c r="E22" s="20" t="s">
        <v>122</v>
      </c>
      <c r="F22" s="20" t="s">
        <v>2</v>
      </c>
      <c r="G22" s="20" t="s">
        <v>2</v>
      </c>
      <c r="H22" s="22">
        <f>+SUM(D22:G22)</f>
        <v>261.89999999999998</v>
      </c>
      <c r="I22" s="20" t="s">
        <v>122</v>
      </c>
      <c r="J22" s="17"/>
      <c r="K22" s="19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</row>
    <row r="23" spans="1:81">
      <c r="A23" s="23" t="s">
        <v>729</v>
      </c>
      <c r="B23" s="44"/>
      <c r="C23" s="44"/>
      <c r="D23" s="594">
        <f>11.25*9.7</f>
        <v>109.12499999999999</v>
      </c>
      <c r="E23" s="24" t="s">
        <v>27</v>
      </c>
      <c r="F23" s="24"/>
      <c r="G23" s="24"/>
      <c r="H23" s="150">
        <f>+SUM(D23:G23)</f>
        <v>109.12499999999999</v>
      </c>
      <c r="I23" s="25" t="s">
        <v>27</v>
      </c>
      <c r="J23" s="25"/>
      <c r="K23" s="1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</row>
    <row r="24" spans="1:81" ht="13.5" thickBot="1">
      <c r="A24" s="7"/>
      <c r="B24" s="7"/>
      <c r="C24" s="7"/>
      <c r="D24" s="7"/>
      <c r="E24" s="7"/>
      <c r="F24" s="7"/>
      <c r="G24" s="7"/>
      <c r="H24" s="44"/>
      <c r="I24" s="7"/>
      <c r="J24" s="7" t="s">
        <v>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</row>
    <row r="25" spans="1:81" ht="13.5" thickBot="1">
      <c r="A25" s="39" t="s">
        <v>355</v>
      </c>
      <c r="B25" s="173"/>
      <c r="C25" s="173"/>
      <c r="D25" s="151">
        <f>+H52</f>
        <v>2.1518900343642615</v>
      </c>
      <c r="E25" s="152" t="s">
        <v>356</v>
      </c>
      <c r="F25" s="7"/>
      <c r="G25" s="140" t="s">
        <v>399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</row>
    <row r="26" spans="1:81">
      <c r="A26" s="140" t="s">
        <v>6</v>
      </c>
      <c r="B26" s="140"/>
      <c r="C26" s="140"/>
      <c r="D26" s="64">
        <f>+H50</f>
        <v>1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</row>
    <row r="27" spans="1:81">
      <c r="A27" s="140" t="s">
        <v>140</v>
      </c>
      <c r="B27" s="140"/>
      <c r="C27" s="140"/>
      <c r="D27" s="64">
        <f>+H48</f>
        <v>1.1518900343642613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</row>
    <row r="28" spans="1:81" ht="13.5" thickBot="1">
      <c r="A28" s="140" t="s">
        <v>0</v>
      </c>
      <c r="B28" s="140"/>
      <c r="C28" s="14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</row>
    <row r="29" spans="1:81" ht="15" thickBot="1">
      <c r="A29" s="39" t="s">
        <v>357</v>
      </c>
      <c r="B29" s="173"/>
      <c r="C29" s="173"/>
      <c r="D29" s="151">
        <f>+H19/D22</f>
        <v>0.89662084765177552</v>
      </c>
      <c r="E29" s="153" t="s">
        <v>358</v>
      </c>
      <c r="F29" s="7"/>
      <c r="G29" s="140" t="s">
        <v>594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</row>
    <row r="30" spans="1:8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</row>
    <row r="31" spans="1:8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</row>
    <row r="32" spans="1:8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</row>
    <row r="33" spans="1:8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</row>
    <row r="34" spans="1:81" hidden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</row>
    <row r="35" spans="1:81" hidden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</row>
    <row r="36" spans="1:81" ht="13.5" hidden="1" thickBo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</row>
    <row r="37" spans="1:81" hidden="1">
      <c r="A37" s="26" t="s">
        <v>90</v>
      </c>
      <c r="B37" s="586"/>
      <c r="C37" s="586"/>
      <c r="D37" s="27"/>
      <c r="E37" s="27"/>
      <c r="F37" s="27"/>
      <c r="G37" s="27"/>
      <c r="H37" s="27"/>
      <c r="I37" s="27"/>
      <c r="J37" s="28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</row>
    <row r="38" spans="1:81" hidden="1">
      <c r="A38" s="29"/>
      <c r="B38" s="17"/>
      <c r="C38" s="17"/>
      <c r="D38" s="8" t="s">
        <v>92</v>
      </c>
      <c r="E38" s="30"/>
      <c r="F38" s="13"/>
      <c r="G38" s="13"/>
      <c r="H38" s="13"/>
      <c r="I38" s="12"/>
      <c r="J38" s="10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</row>
    <row r="39" spans="1:81" ht="13.5" hidden="1" thickBot="1">
      <c r="A39" s="31"/>
      <c r="B39" s="17"/>
      <c r="C39" s="17"/>
      <c r="D39" s="143" t="s">
        <v>91</v>
      </c>
      <c r="E39" s="33" t="s">
        <v>24</v>
      </c>
      <c r="F39" s="154" t="s">
        <v>89</v>
      </c>
      <c r="G39" s="154" t="s">
        <v>22</v>
      </c>
      <c r="H39" s="154" t="s">
        <v>0</v>
      </c>
      <c r="I39" s="123"/>
      <c r="J39" s="33" t="s">
        <v>11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</row>
    <row r="40" spans="1:81" hidden="1">
      <c r="A40" s="16" t="s">
        <v>1</v>
      </c>
      <c r="B40" s="44"/>
      <c r="C40" s="44"/>
      <c r="D40" s="52">
        <f t="shared" ref="D40:H47" si="4">+D8/$H$23</f>
        <v>0.14432989690721651</v>
      </c>
      <c r="E40" s="52">
        <f t="shared" si="4"/>
        <v>0</v>
      </c>
      <c r="F40" s="52">
        <f t="shared" si="4"/>
        <v>0</v>
      </c>
      <c r="G40" s="52">
        <f t="shared" si="4"/>
        <v>0.16494845360824745</v>
      </c>
      <c r="H40" s="155">
        <f t="shared" si="4"/>
        <v>0.30927835051546398</v>
      </c>
      <c r="I40" s="149"/>
      <c r="J40" s="156">
        <f>+H40/$H$52*100</f>
        <v>14.372404982433729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</row>
    <row r="41" spans="1:81" hidden="1">
      <c r="A41" s="16" t="s">
        <v>351</v>
      </c>
      <c r="B41" s="44"/>
      <c r="C41" s="44"/>
      <c r="D41" s="52">
        <f t="shared" si="4"/>
        <v>0</v>
      </c>
      <c r="E41" s="52">
        <f t="shared" si="4"/>
        <v>0</v>
      </c>
      <c r="F41" s="52">
        <f t="shared" si="4"/>
        <v>0</v>
      </c>
      <c r="G41" s="52">
        <f t="shared" si="4"/>
        <v>0</v>
      </c>
      <c r="H41" s="155">
        <f t="shared" si="4"/>
        <v>0</v>
      </c>
      <c r="I41" s="149"/>
      <c r="J41" s="156">
        <f t="shared" ref="J41:J47" si="5">+H41/$H$52*100</f>
        <v>0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</row>
    <row r="42" spans="1:81" hidden="1">
      <c r="A42" s="16" t="s">
        <v>3</v>
      </c>
      <c r="B42" s="44"/>
      <c r="C42" s="44"/>
      <c r="D42" s="52">
        <f t="shared" si="4"/>
        <v>8.5498281786941577E-2</v>
      </c>
      <c r="E42" s="52">
        <f t="shared" si="4"/>
        <v>0.13745704467353953</v>
      </c>
      <c r="F42" s="52">
        <f t="shared" si="4"/>
        <v>1.7319587628865984E-2</v>
      </c>
      <c r="G42" s="52">
        <f t="shared" si="4"/>
        <v>2.6391752577319589E-2</v>
      </c>
      <c r="H42" s="155">
        <f t="shared" si="4"/>
        <v>0.26666666666666666</v>
      </c>
      <c r="I42" s="149"/>
      <c r="J42" s="156">
        <f t="shared" si="5"/>
        <v>12.392206962631745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</row>
    <row r="43" spans="1:81" hidden="1">
      <c r="A43" s="16" t="s">
        <v>352</v>
      </c>
      <c r="B43" s="44"/>
      <c r="C43" s="44"/>
      <c r="D43" s="52">
        <f t="shared" si="4"/>
        <v>0</v>
      </c>
      <c r="E43" s="52">
        <f t="shared" si="4"/>
        <v>0</v>
      </c>
      <c r="F43" s="52">
        <f t="shared" si="4"/>
        <v>0</v>
      </c>
      <c r="G43" s="52">
        <f t="shared" si="4"/>
        <v>0</v>
      </c>
      <c r="H43" s="155">
        <f t="shared" si="4"/>
        <v>0</v>
      </c>
      <c r="I43" s="149"/>
      <c r="J43" s="156">
        <f t="shared" si="5"/>
        <v>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</row>
    <row r="44" spans="1:81" hidden="1">
      <c r="A44" s="16" t="s">
        <v>5</v>
      </c>
      <c r="B44" s="44"/>
      <c r="C44" s="44"/>
      <c r="D44" s="52">
        <f t="shared" si="4"/>
        <v>0.25557846506300119</v>
      </c>
      <c r="E44" s="52">
        <f t="shared" si="4"/>
        <v>0</v>
      </c>
      <c r="F44" s="52">
        <f t="shared" si="4"/>
        <v>2.2909507445589922E-2</v>
      </c>
      <c r="G44" s="52">
        <f t="shared" si="4"/>
        <v>3.0790378006872857E-2</v>
      </c>
      <c r="H44" s="155">
        <f t="shared" si="4"/>
        <v>0.30927835051546398</v>
      </c>
      <c r="I44" s="149"/>
      <c r="J44" s="156">
        <f t="shared" si="5"/>
        <v>14.372404982433729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</row>
    <row r="45" spans="1:81" hidden="1">
      <c r="A45" s="16" t="s">
        <v>353</v>
      </c>
      <c r="B45" s="44"/>
      <c r="C45" s="44"/>
      <c r="D45" s="52">
        <f t="shared" si="4"/>
        <v>0</v>
      </c>
      <c r="E45" s="52">
        <f t="shared" si="4"/>
        <v>0</v>
      </c>
      <c r="F45" s="52">
        <f t="shared" si="4"/>
        <v>0</v>
      </c>
      <c r="G45" s="52">
        <f t="shared" si="4"/>
        <v>0</v>
      </c>
      <c r="H45" s="155">
        <f t="shared" si="4"/>
        <v>0</v>
      </c>
      <c r="I45" s="149"/>
      <c r="J45" s="156">
        <f t="shared" si="5"/>
        <v>0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</row>
    <row r="46" spans="1:81" hidden="1">
      <c r="A46" s="16" t="s">
        <v>4</v>
      </c>
      <c r="B46" s="44"/>
      <c r="C46" s="44"/>
      <c r="D46" s="52">
        <f t="shared" si="4"/>
        <v>0.26666666666666666</v>
      </c>
      <c r="E46" s="52">
        <f t="shared" si="4"/>
        <v>0</v>
      </c>
      <c r="F46" s="52">
        <f t="shared" si="4"/>
        <v>0</v>
      </c>
      <c r="G46" s="52">
        <f t="shared" si="4"/>
        <v>0</v>
      </c>
      <c r="H46" s="155">
        <f t="shared" si="4"/>
        <v>0.26666666666666666</v>
      </c>
      <c r="I46" s="149"/>
      <c r="J46" s="156">
        <f t="shared" si="5"/>
        <v>12.392206962631745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</row>
    <row r="47" spans="1:81" hidden="1">
      <c r="A47" s="16" t="s">
        <v>354</v>
      </c>
      <c r="B47" s="44"/>
      <c r="C47" s="44"/>
      <c r="D47" s="52">
        <f t="shared" si="4"/>
        <v>0</v>
      </c>
      <c r="E47" s="52">
        <f t="shared" si="4"/>
        <v>0</v>
      </c>
      <c r="F47" s="52">
        <f t="shared" si="4"/>
        <v>0</v>
      </c>
      <c r="G47" s="52">
        <f t="shared" si="4"/>
        <v>0</v>
      </c>
      <c r="H47" s="155">
        <f t="shared" si="4"/>
        <v>0</v>
      </c>
      <c r="I47" s="149"/>
      <c r="J47" s="156">
        <f t="shared" si="5"/>
        <v>0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</row>
    <row r="48" spans="1:81" hidden="1">
      <c r="A48" s="16" t="s">
        <v>93</v>
      </c>
      <c r="B48" s="44"/>
      <c r="C48" s="44"/>
      <c r="D48" s="52">
        <f>+D16/$H$23</f>
        <v>0.75207331042382597</v>
      </c>
      <c r="E48" s="52">
        <f>+E16/$H$23</f>
        <v>0.13745704467353953</v>
      </c>
      <c r="F48" s="52">
        <f>+F16/$H$23</f>
        <v>4.0229095074455913E-2</v>
      </c>
      <c r="G48" s="52">
        <f>+G16/$H$23</f>
        <v>0.22213058419243989</v>
      </c>
      <c r="H48" s="157">
        <f>SUM(H40:H47)</f>
        <v>1.1518900343642613</v>
      </c>
      <c r="I48" s="158" t="s">
        <v>2</v>
      </c>
      <c r="J48" s="156">
        <f>+H48/$H$52*100</f>
        <v>53.52922389013095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</row>
    <row r="49" spans="1:81" hidden="1">
      <c r="A49" s="11"/>
      <c r="B49" s="17"/>
      <c r="C49" s="17"/>
      <c r="D49" s="52"/>
      <c r="E49" s="52"/>
      <c r="F49" s="52"/>
      <c r="G49" s="52"/>
      <c r="H49" s="159"/>
      <c r="I49" s="158"/>
      <c r="J49" s="156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</row>
    <row r="50" spans="1:81" hidden="1">
      <c r="A50" s="16" t="s">
        <v>94</v>
      </c>
      <c r="B50" s="44"/>
      <c r="C50" s="44"/>
      <c r="D50" s="52">
        <f>+D18/$H$23</f>
        <v>1</v>
      </c>
      <c r="E50" s="52">
        <f>+E18/$H$23</f>
        <v>0</v>
      </c>
      <c r="F50" s="52"/>
      <c r="G50" s="52"/>
      <c r="H50" s="159">
        <f>+H18/$H$23</f>
        <v>1</v>
      </c>
      <c r="I50" s="149"/>
      <c r="J50" s="156">
        <f>+H50/$H$52*100</f>
        <v>46.470776109869043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81" hidden="1">
      <c r="A51" s="11"/>
      <c r="B51" s="17"/>
      <c r="C51" s="17"/>
      <c r="D51" s="51" t="s">
        <v>2</v>
      </c>
      <c r="E51" s="51"/>
      <c r="F51" s="51"/>
      <c r="G51" s="51" t="s">
        <v>2</v>
      </c>
      <c r="H51" s="159"/>
      <c r="I51" s="149"/>
      <c r="J51" s="160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81" hidden="1">
      <c r="A52" s="23" t="s">
        <v>95</v>
      </c>
      <c r="B52" s="250"/>
      <c r="C52" s="250"/>
      <c r="D52" s="161"/>
      <c r="E52" s="161"/>
      <c r="F52" s="161"/>
      <c r="G52" s="161"/>
      <c r="H52" s="162">
        <f>+H50+H48</f>
        <v>2.1518900343642615</v>
      </c>
      <c r="I52" s="163"/>
      <c r="J52" s="164">
        <f>SUM(J48:J50)</f>
        <v>100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81" hidden="1">
      <c r="A53" s="7"/>
      <c r="B53" s="7"/>
      <c r="C53" s="7"/>
      <c r="D53" s="37"/>
      <c r="E53" s="37"/>
      <c r="F53" s="37"/>
      <c r="G53" s="87">
        <f>+H52</f>
        <v>2.1518900343642615</v>
      </c>
      <c r="H53" s="37" t="s">
        <v>180</v>
      </c>
      <c r="I53" s="3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81" hidden="1">
      <c r="A54" s="6"/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8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81">
      <c r="A56" s="8" t="s">
        <v>80</v>
      </c>
      <c r="B56" s="38"/>
      <c r="C56" s="38"/>
      <c r="D56" s="38"/>
      <c r="E56" s="9"/>
      <c r="F56" s="9"/>
      <c r="G56" s="9"/>
      <c r="H56" s="38"/>
      <c r="I56" s="9"/>
      <c r="J56" s="9"/>
      <c r="K56" s="9"/>
      <c r="L56" s="9"/>
      <c r="M56" s="9"/>
      <c r="N56" s="10"/>
      <c r="O56" s="17"/>
      <c r="P56" s="1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81">
      <c r="A57" s="249" t="s">
        <v>400</v>
      </c>
      <c r="B57" s="76"/>
      <c r="C57" s="76"/>
      <c r="D57" s="17"/>
      <c r="E57" s="17"/>
      <c r="F57" s="17"/>
      <c r="G57" s="17"/>
      <c r="H57" s="44"/>
      <c r="I57" s="17"/>
      <c r="J57" s="17" t="s">
        <v>2</v>
      </c>
      <c r="K57" s="17"/>
      <c r="L57" s="17"/>
      <c r="M57" s="17"/>
      <c r="N57" s="19"/>
      <c r="O57" s="17"/>
      <c r="P57" s="1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81">
      <c r="A58" s="11"/>
      <c r="B58" s="17"/>
      <c r="C58" s="17"/>
      <c r="D58" s="17"/>
      <c r="E58" s="17"/>
      <c r="F58" s="17"/>
      <c r="G58" s="17"/>
      <c r="H58" s="44"/>
      <c r="I58" s="17"/>
      <c r="J58" s="17"/>
      <c r="K58" s="17"/>
      <c r="L58" s="17"/>
      <c r="M58" s="17"/>
      <c r="N58" s="19"/>
      <c r="O58" s="17"/>
      <c r="P58" s="1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81">
      <c r="A59" s="249" t="s">
        <v>401</v>
      </c>
      <c r="B59" s="76"/>
      <c r="C59" s="76"/>
      <c r="D59" s="17"/>
      <c r="E59" s="637">
        <v>3</v>
      </c>
      <c r="F59" s="17"/>
      <c r="G59" s="17"/>
      <c r="H59" s="44"/>
      <c r="I59" s="17"/>
      <c r="J59" s="17" t="s">
        <v>2</v>
      </c>
      <c r="K59" s="17"/>
      <c r="L59" s="17"/>
      <c r="M59" s="17"/>
      <c r="N59" s="19"/>
      <c r="O59" s="17"/>
      <c r="P59" s="1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81">
      <c r="A60" s="249" t="s">
        <v>402</v>
      </c>
      <c r="B60" s="76"/>
      <c r="C60" s="76"/>
      <c r="D60" s="17"/>
      <c r="E60" s="637">
        <v>3.5</v>
      </c>
      <c r="F60" s="17"/>
      <c r="G60" s="17"/>
      <c r="H60" s="44"/>
      <c r="I60" s="17"/>
      <c r="J60" s="17"/>
      <c r="K60" s="17"/>
      <c r="L60" s="17"/>
      <c r="M60" s="17"/>
      <c r="N60" s="19"/>
      <c r="O60" s="17"/>
      <c r="P60" s="1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81">
      <c r="A61" s="249" t="s">
        <v>403</v>
      </c>
      <c r="B61" s="76"/>
      <c r="C61" s="76"/>
      <c r="D61" s="17"/>
      <c r="E61" s="637">
        <v>2</v>
      </c>
      <c r="F61" s="17"/>
      <c r="G61" s="17"/>
      <c r="H61" s="44"/>
      <c r="I61" s="17"/>
      <c r="J61" s="17" t="s">
        <v>2</v>
      </c>
      <c r="K61" s="17"/>
      <c r="L61" s="17"/>
      <c r="M61" s="17"/>
      <c r="N61" s="19"/>
      <c r="O61" s="17"/>
      <c r="P61" s="1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81">
      <c r="A62" s="249" t="s">
        <v>404</v>
      </c>
      <c r="B62" s="76"/>
      <c r="C62" s="76"/>
      <c r="D62" s="17"/>
      <c r="E62" s="637">
        <v>4</v>
      </c>
      <c r="F62" s="17"/>
      <c r="G62" s="17"/>
      <c r="H62" s="44"/>
      <c r="I62" s="17"/>
      <c r="J62" s="17"/>
      <c r="K62" s="17" t="s">
        <v>2</v>
      </c>
      <c r="L62" s="17"/>
      <c r="M62" s="17"/>
      <c r="N62" s="19"/>
      <c r="O62" s="17"/>
      <c r="P62" s="1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81">
      <c r="A63" s="11"/>
      <c r="B63" s="17"/>
      <c r="C63" s="17"/>
      <c r="D63" s="17"/>
      <c r="E63" s="17"/>
      <c r="F63" s="17"/>
      <c r="G63" s="17"/>
      <c r="H63" s="17"/>
      <c r="I63" s="17"/>
      <c r="J63" s="17"/>
      <c r="K63" s="17" t="s">
        <v>2</v>
      </c>
      <c r="L63" s="17"/>
      <c r="M63" s="17"/>
      <c r="N63" s="19"/>
      <c r="O63" s="17"/>
      <c r="P63" s="1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81">
      <c r="A64" s="16" t="s">
        <v>101</v>
      </c>
      <c r="B64" s="44"/>
      <c r="C64" s="44"/>
      <c r="D64" s="44"/>
      <c r="E64" s="44">
        <f>+E59*E62</f>
        <v>12</v>
      </c>
      <c r="F64" s="44" t="s">
        <v>27</v>
      </c>
      <c r="G64" s="17"/>
      <c r="H64" s="17"/>
      <c r="I64" s="17"/>
      <c r="J64" s="17"/>
      <c r="K64" s="17"/>
      <c r="L64" s="17"/>
      <c r="M64" s="17"/>
      <c r="N64" s="19"/>
      <c r="O64" s="17"/>
      <c r="P64" s="1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>
      <c r="A65" s="16" t="s">
        <v>102</v>
      </c>
      <c r="B65" s="44"/>
      <c r="C65" s="44"/>
      <c r="D65" s="44"/>
      <c r="E65" s="22">
        <f>(+E59*E62)/COS(ATAN((E60-E61)/E62))</f>
        <v>12.816005617976296</v>
      </c>
      <c r="F65" s="44" t="s">
        <v>27</v>
      </c>
      <c r="G65" s="17"/>
      <c r="H65" s="17"/>
      <c r="I65" s="17"/>
      <c r="J65" s="17"/>
      <c r="K65" s="17"/>
      <c r="L65" s="17"/>
      <c r="M65" s="17"/>
      <c r="N65" s="19"/>
      <c r="O65" s="17"/>
      <c r="P65" s="1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>
      <c r="A66" s="1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9"/>
      <c r="O66" s="17"/>
      <c r="P66" s="1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>
      <c r="A67" s="16" t="s">
        <v>732</v>
      </c>
      <c r="B67" s="7"/>
      <c r="C67" s="7"/>
      <c r="D67" s="7"/>
      <c r="E67" s="6">
        <f>+(E60+E61)/2</f>
        <v>2.75</v>
      </c>
      <c r="F67" s="6" t="s">
        <v>470</v>
      </c>
      <c r="G67" s="17"/>
      <c r="H67" s="17"/>
      <c r="I67" s="17"/>
      <c r="J67" s="17"/>
      <c r="K67" s="17"/>
      <c r="L67" s="17"/>
      <c r="M67" s="17"/>
      <c r="N67" s="19"/>
      <c r="O67" s="17"/>
      <c r="P67" s="1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>
      <c r="A68" s="16" t="s">
        <v>103</v>
      </c>
      <c r="B68" s="44"/>
      <c r="C68" s="44"/>
      <c r="D68" s="44"/>
      <c r="E68" s="22">
        <f>+(E60+E61)*E62/2</f>
        <v>11</v>
      </c>
      <c r="F68" s="44" t="s">
        <v>27</v>
      </c>
      <c r="G68" s="17"/>
      <c r="H68" s="17"/>
      <c r="I68" s="17"/>
      <c r="J68" s="17"/>
      <c r="K68" s="17"/>
      <c r="L68" s="17"/>
      <c r="M68" s="17"/>
      <c r="N68" s="19"/>
      <c r="O68" s="17"/>
      <c r="P68" s="1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>
      <c r="A69" s="23" t="s">
        <v>104</v>
      </c>
      <c r="B69" s="250"/>
      <c r="C69" s="250"/>
      <c r="D69" s="250"/>
      <c r="E69" s="250">
        <f>+E68*E59</f>
        <v>33</v>
      </c>
      <c r="F69" s="250" t="s">
        <v>26</v>
      </c>
      <c r="G69" s="25"/>
      <c r="H69" s="25"/>
      <c r="I69" s="25"/>
      <c r="J69" s="25"/>
      <c r="K69" s="25"/>
      <c r="L69" s="25"/>
      <c r="M69" s="25"/>
      <c r="N69" s="15"/>
      <c r="O69" s="17"/>
      <c r="P69" s="1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</sheetData>
  <mergeCells count="6">
    <mergeCell ref="J5:K7"/>
    <mergeCell ref="B5:B7"/>
    <mergeCell ref="D5:E6"/>
    <mergeCell ref="F5:F7"/>
    <mergeCell ref="G5:G7"/>
    <mergeCell ref="H5:H7"/>
  </mergeCells>
  <phoneticPr fontId="14" type="noConversion"/>
  <pageMargins left="0.73" right="0.75" top="0.88" bottom="1" header="0" footer="0"/>
  <pageSetup paperSize="9" orientation="portrait" horizontalDpi="300" verticalDpi="300" r:id="rId1"/>
  <headerFooter alignWithMargins="0"/>
  <ignoredErrors>
    <ignoredError sqref="F10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N162"/>
  <sheetViews>
    <sheetView zoomScaleNormal="100" workbookViewId="0">
      <selection activeCell="AC10" sqref="AC10"/>
    </sheetView>
  </sheetViews>
  <sheetFormatPr baseColWidth="10" defaultColWidth="9.140625" defaultRowHeight="12.75"/>
  <cols>
    <col min="1" max="1" width="12.85546875" customWidth="1"/>
    <col min="2" max="3" width="9.140625" customWidth="1"/>
    <col min="4" max="4" width="9.7109375" customWidth="1"/>
    <col min="5" max="7" width="9.140625" customWidth="1"/>
    <col min="8" max="8" width="11" customWidth="1"/>
    <col min="9" max="9" width="2.7109375" customWidth="1"/>
    <col min="12" max="12" width="15" customWidth="1"/>
    <col min="27" max="27" width="11" customWidth="1"/>
    <col min="29" max="29" width="12.7109375" customWidth="1"/>
  </cols>
  <sheetData>
    <row r="1" spans="1:40">
      <c r="A1" s="6" t="s">
        <v>269</v>
      </c>
      <c r="B1" s="7"/>
      <c r="C1" s="7"/>
      <c r="D1" s="7"/>
      <c r="E1" s="7"/>
      <c r="F1" s="7"/>
      <c r="G1" s="7" t="s">
        <v>2</v>
      </c>
      <c r="H1" s="7"/>
      <c r="I1" s="7"/>
      <c r="J1" s="7"/>
      <c r="K1" s="7"/>
      <c r="L1" s="7"/>
      <c r="M1" s="7"/>
      <c r="N1" s="7"/>
      <c r="O1" s="7"/>
      <c r="P1" s="7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</row>
    <row r="2" spans="1:40">
      <c r="A2" s="140" t="s">
        <v>350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65"/>
      <c r="O2" s="165"/>
      <c r="P2" s="7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</row>
    <row r="3" spans="1:40" ht="13.5" thickBot="1">
      <c r="A3" s="140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178"/>
      <c r="R3" s="178"/>
      <c r="S3" s="178"/>
      <c r="T3" s="178"/>
      <c r="U3" s="178"/>
      <c r="V3" s="509" t="s">
        <v>671</v>
      </c>
      <c r="W3" s="510"/>
      <c r="X3" s="510"/>
      <c r="Y3" s="510"/>
      <c r="Z3" s="510"/>
      <c r="AA3" s="510"/>
      <c r="AB3" s="511">
        <v>1</v>
      </c>
      <c r="AC3" s="512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</row>
    <row r="4" spans="1:40">
      <c r="A4" s="6" t="s">
        <v>84</v>
      </c>
      <c r="B4" s="94" t="str">
        <f>VLOOKUP(Lugar!E84,Lugar!A65:C84,2)</f>
        <v>Santa Rosa</v>
      </c>
      <c r="C4" s="480"/>
      <c r="D4" s="7" t="s">
        <v>96</v>
      </c>
      <c r="E4" s="94">
        <f>VLOOKUP(Lugar!E84,Lugar!A65:E84,3)</f>
        <v>1636.7</v>
      </c>
      <c r="F4" s="7" t="s">
        <v>97</v>
      </c>
      <c r="G4" s="7"/>
      <c r="H4" s="87">
        <f>1.1516-0.0022*E4</f>
        <v>-2.4491400000000008</v>
      </c>
      <c r="I4" s="7" t="s">
        <v>98</v>
      </c>
      <c r="J4" s="7"/>
      <c r="K4" s="7"/>
      <c r="L4" s="68" t="s">
        <v>315</v>
      </c>
      <c r="M4" s="27"/>
      <c r="N4" s="27"/>
      <c r="O4" s="27"/>
      <c r="P4" s="179" t="s">
        <v>143</v>
      </c>
      <c r="Q4" s="179"/>
      <c r="R4" s="179"/>
      <c r="S4" s="180"/>
      <c r="T4" s="178"/>
      <c r="U4" s="178"/>
      <c r="V4" s="513"/>
      <c r="W4" s="514"/>
      <c r="X4" s="514"/>
      <c r="Y4" s="514"/>
      <c r="Z4" s="514"/>
      <c r="AA4" s="514"/>
      <c r="AB4" s="514"/>
      <c r="AC4" s="515"/>
      <c r="AD4" s="165"/>
      <c r="AE4" s="165"/>
      <c r="AF4" s="178"/>
      <c r="AG4" s="178"/>
      <c r="AH4" s="178"/>
      <c r="AI4" s="178"/>
      <c r="AJ4" s="178"/>
      <c r="AK4" s="178"/>
      <c r="AL4" s="178"/>
      <c r="AM4" s="178"/>
      <c r="AN4" s="178"/>
    </row>
    <row r="5" spans="1:40" ht="13.5" thickBo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29"/>
      <c r="M5" s="17"/>
      <c r="N5" s="17"/>
      <c r="O5" s="17"/>
      <c r="P5" s="171" t="s">
        <v>144</v>
      </c>
      <c r="Q5" s="171"/>
      <c r="R5" s="171"/>
      <c r="S5" s="243"/>
      <c r="T5" s="178"/>
      <c r="U5" s="178"/>
      <c r="V5" s="8" t="s">
        <v>105</v>
      </c>
      <c r="W5" s="9"/>
      <c r="X5" s="9"/>
      <c r="Y5" s="9"/>
      <c r="Z5" s="9"/>
      <c r="AA5" s="9"/>
      <c r="AB5" s="9"/>
      <c r="AC5" s="10"/>
      <c r="AD5" s="17"/>
      <c r="AE5" s="7"/>
      <c r="AF5" s="178"/>
      <c r="AG5" s="178"/>
      <c r="AH5" s="178"/>
      <c r="AI5" s="178"/>
      <c r="AJ5" s="178"/>
      <c r="AK5" s="178"/>
      <c r="AL5" s="178"/>
      <c r="AM5" s="178"/>
      <c r="AN5" s="178"/>
    </row>
    <row r="6" spans="1:40" ht="13.5" thickBot="1">
      <c r="A6" s="39" t="s">
        <v>81</v>
      </c>
      <c r="B6" s="40"/>
      <c r="C6" s="40"/>
      <c r="D6" s="40"/>
      <c r="E6" s="40"/>
      <c r="F6" s="40"/>
      <c r="G6" s="40"/>
      <c r="H6" s="41"/>
      <c r="I6" s="7"/>
      <c r="J6" s="7"/>
      <c r="K6" s="7"/>
      <c r="L6" s="43" t="s">
        <v>137</v>
      </c>
      <c r="M6" s="71" t="s">
        <v>108</v>
      </c>
      <c r="N6" s="72" t="s">
        <v>76</v>
      </c>
      <c r="O6" s="73" t="s">
        <v>76</v>
      </c>
      <c r="P6" s="7"/>
      <c r="Q6" s="17"/>
      <c r="R6" s="17"/>
      <c r="S6" s="55"/>
      <c r="T6" s="178"/>
      <c r="U6" s="178"/>
      <c r="V6" s="11" t="s">
        <v>99</v>
      </c>
      <c r="W6" s="17"/>
      <c r="X6" s="17"/>
      <c r="Y6" s="17"/>
      <c r="Z6" s="2">
        <v>0.85</v>
      </c>
      <c r="AA6" s="17"/>
      <c r="AB6" s="17" t="s">
        <v>326</v>
      </c>
      <c r="AC6" s="19" t="s">
        <v>329</v>
      </c>
      <c r="AD6" s="17"/>
      <c r="AE6" s="7"/>
      <c r="AF6" s="178"/>
      <c r="AG6" s="178"/>
      <c r="AH6" s="178"/>
      <c r="AI6" s="178"/>
      <c r="AJ6" s="178"/>
      <c r="AK6" s="178"/>
      <c r="AL6" s="178"/>
      <c r="AM6" s="178"/>
      <c r="AN6" s="178"/>
    </row>
    <row r="7" spans="1:40">
      <c r="A7" s="42"/>
      <c r="B7" s="27"/>
      <c r="C7" s="27"/>
      <c r="D7" s="27"/>
      <c r="E7" s="27"/>
      <c r="F7" s="27"/>
      <c r="G7" s="27"/>
      <c r="H7" s="28"/>
      <c r="I7" s="7"/>
      <c r="J7" s="7"/>
      <c r="K7" s="7"/>
      <c r="L7" s="43" t="s">
        <v>138</v>
      </c>
      <c r="M7" s="76" t="s">
        <v>139</v>
      </c>
      <c r="N7" s="76" t="s">
        <v>135</v>
      </c>
      <c r="O7" s="76" t="s">
        <v>136</v>
      </c>
      <c r="P7" s="7"/>
      <c r="Q7" s="17"/>
      <c r="R7" s="17"/>
      <c r="S7" s="55"/>
      <c r="T7" s="178"/>
      <c r="U7" s="178"/>
      <c r="V7" s="11" t="s">
        <v>21</v>
      </c>
      <c r="W7" s="11"/>
      <c r="X7" s="44">
        <f>+E4*F21*(1-Q37)*0.024*AB3/Z6</f>
        <v>6442.9898284759274</v>
      </c>
      <c r="Y7" s="44" t="s">
        <v>100</v>
      </c>
      <c r="Z7" s="17"/>
      <c r="AA7" s="17"/>
      <c r="AB7" s="17" t="s">
        <v>327</v>
      </c>
      <c r="AC7" s="19" t="s">
        <v>328</v>
      </c>
      <c r="AD7" s="17"/>
      <c r="AE7" s="7"/>
      <c r="AF7" s="178"/>
      <c r="AG7" s="178"/>
      <c r="AH7" s="178"/>
      <c r="AI7" s="178"/>
      <c r="AJ7" s="178"/>
      <c r="AK7" s="178"/>
      <c r="AL7" s="178"/>
      <c r="AM7" s="178"/>
      <c r="AN7" s="178"/>
    </row>
    <row r="8" spans="1:40">
      <c r="A8" s="43" t="s">
        <v>7</v>
      </c>
      <c r="B8" s="44"/>
      <c r="C8" s="44" t="s">
        <v>8</v>
      </c>
      <c r="D8" s="45" t="s">
        <v>82</v>
      </c>
      <c r="E8" s="44"/>
      <c r="F8" s="44" t="s">
        <v>10</v>
      </c>
      <c r="G8" s="44" t="s">
        <v>77</v>
      </c>
      <c r="H8" s="46"/>
      <c r="I8" s="6"/>
      <c r="J8" s="165"/>
      <c r="K8" s="7"/>
      <c r="L8" s="43"/>
      <c r="M8" s="76"/>
      <c r="N8" s="76"/>
      <c r="O8" s="76"/>
      <c r="P8" s="7"/>
      <c r="Q8" s="17"/>
      <c r="R8" s="17"/>
      <c r="S8" s="55"/>
      <c r="T8" s="178"/>
      <c r="U8" s="178"/>
      <c r="V8" s="11" t="s">
        <v>672</v>
      </c>
      <c r="W8" s="17"/>
      <c r="X8" s="34">
        <f>+X7</f>
        <v>6442.9898284759274</v>
      </c>
      <c r="Y8" s="17"/>
      <c r="Z8" s="17"/>
      <c r="AA8" s="17"/>
      <c r="AB8" s="181">
        <v>147</v>
      </c>
      <c r="AC8" s="131">
        <f>+AB8*X8</f>
        <v>947119.50478596136</v>
      </c>
      <c r="AD8" s="17"/>
      <c r="AE8" s="7"/>
      <c r="AF8" s="178"/>
      <c r="AG8" s="178"/>
      <c r="AH8" s="178"/>
      <c r="AI8" s="178"/>
      <c r="AJ8" s="178"/>
      <c r="AK8" s="178"/>
      <c r="AL8" s="178"/>
      <c r="AM8" s="178"/>
      <c r="AN8" s="178"/>
    </row>
    <row r="9" spans="1:40" ht="13.5" thickBot="1">
      <c r="A9" s="31"/>
      <c r="B9" s="47"/>
      <c r="C9" s="47"/>
      <c r="D9" s="48" t="s">
        <v>83</v>
      </c>
      <c r="E9" s="47"/>
      <c r="F9" s="47" t="s">
        <v>317</v>
      </c>
      <c r="G9" s="48" t="s">
        <v>359</v>
      </c>
      <c r="H9" s="49"/>
      <c r="I9" s="7"/>
      <c r="J9" s="7"/>
      <c r="K9" s="50"/>
      <c r="L9" s="69" t="s">
        <v>85</v>
      </c>
      <c r="M9" s="128">
        <v>0</v>
      </c>
      <c r="N9" s="84">
        <f>+mensual!V23</f>
        <v>0.10618706147214101</v>
      </c>
      <c r="O9" s="82">
        <f>+N9*M9/$M$36</f>
        <v>0</v>
      </c>
      <c r="P9" s="7"/>
      <c r="Q9" s="17" t="s">
        <v>11</v>
      </c>
      <c r="R9" s="17"/>
      <c r="S9" s="55"/>
      <c r="T9" s="178"/>
      <c r="U9" s="178"/>
      <c r="V9" s="11" t="s">
        <v>322</v>
      </c>
      <c r="W9" s="17"/>
      <c r="X9" s="34">
        <f>X7/586.06*45</f>
        <v>494.71818974408211</v>
      </c>
      <c r="Y9" s="17"/>
      <c r="Z9" s="17"/>
      <c r="AA9" s="17"/>
      <c r="AB9" s="181">
        <v>400</v>
      </c>
      <c r="AC9" s="131">
        <f>+AB9*X9</f>
        <v>197887.27589763285</v>
      </c>
      <c r="AD9" s="17"/>
      <c r="AE9" s="7"/>
      <c r="AF9" s="178"/>
      <c r="AG9" s="178"/>
      <c r="AH9" s="178"/>
      <c r="AI9" s="178"/>
      <c r="AJ9" s="178"/>
      <c r="AK9" s="178"/>
      <c r="AL9" s="178"/>
      <c r="AM9" s="178"/>
      <c r="AN9" s="178"/>
    </row>
    <row r="10" spans="1:40">
      <c r="A10" s="42" t="s">
        <v>69</v>
      </c>
      <c r="B10" s="27"/>
      <c r="C10" s="276">
        <f>+superficies!D16</f>
        <v>82.07</v>
      </c>
      <c r="D10" s="166">
        <v>0.65</v>
      </c>
      <c r="E10" s="167"/>
      <c r="F10" s="167">
        <f t="shared" ref="F10:F15" si="0">C10*D10</f>
        <v>53.345499999999994</v>
      </c>
      <c r="G10" s="282">
        <f t="shared" ref="G10:G16" si="1">+(F10/$F$21)*100</f>
        <v>23.60439464011424</v>
      </c>
      <c r="H10" s="168" t="s">
        <v>11</v>
      </c>
      <c r="I10" s="50"/>
      <c r="J10" s="50"/>
      <c r="K10" s="50"/>
      <c r="L10" s="69" t="s">
        <v>109</v>
      </c>
      <c r="M10" s="128">
        <f>+superficies!G8</f>
        <v>18</v>
      </c>
      <c r="N10" s="84">
        <f>+mensual!V24</f>
        <v>0.38309097434298717</v>
      </c>
      <c r="O10" s="82">
        <f>+N10*M10/$M$36</f>
        <v>0.38309097434298717</v>
      </c>
      <c r="P10" s="7"/>
      <c r="Q10" s="17" t="s">
        <v>11</v>
      </c>
      <c r="R10" s="17"/>
      <c r="S10" s="55"/>
      <c r="T10" s="178"/>
      <c r="U10" s="178"/>
      <c r="V10" s="11" t="s">
        <v>323</v>
      </c>
      <c r="W10" s="17"/>
      <c r="X10" s="34">
        <f>X7/10.82</f>
        <v>595.47040928613001</v>
      </c>
      <c r="Y10" s="17"/>
      <c r="Z10" s="17"/>
      <c r="AA10" s="17"/>
      <c r="AB10" s="181">
        <v>107.5</v>
      </c>
      <c r="AC10" s="131">
        <f>+AB10*X10</f>
        <v>64013.068998258976</v>
      </c>
      <c r="AD10" s="17"/>
      <c r="AE10" s="7"/>
      <c r="AF10" s="178"/>
      <c r="AG10" s="178"/>
      <c r="AH10" s="178"/>
      <c r="AI10" s="178"/>
      <c r="AJ10" s="178"/>
      <c r="AK10" s="178"/>
      <c r="AL10" s="178"/>
      <c r="AM10" s="178"/>
      <c r="AN10" s="178"/>
    </row>
    <row r="11" spans="1:40">
      <c r="A11" s="29" t="s">
        <v>70</v>
      </c>
      <c r="B11" s="17"/>
      <c r="C11" s="277">
        <f>+superficies!E16</f>
        <v>15</v>
      </c>
      <c r="D11" s="3">
        <v>0.65</v>
      </c>
      <c r="E11" s="51"/>
      <c r="F11" s="51">
        <f t="shared" si="0"/>
        <v>9.75</v>
      </c>
      <c r="G11" s="18">
        <f t="shared" si="1"/>
        <v>4.3141942195895409</v>
      </c>
      <c r="H11" s="169" t="s">
        <v>11</v>
      </c>
      <c r="I11" s="50"/>
      <c r="J11" s="50"/>
      <c r="K11" s="50"/>
      <c r="L11" s="69" t="s">
        <v>110</v>
      </c>
      <c r="M11" s="128">
        <v>0</v>
      </c>
      <c r="N11" s="84">
        <f>+mensual!V25</f>
        <v>0.3649068096565829</v>
      </c>
      <c r="O11" s="82">
        <f>+N11*M11/$M$36</f>
        <v>0</v>
      </c>
      <c r="P11" s="7"/>
      <c r="Q11" s="17" t="s">
        <v>11</v>
      </c>
      <c r="R11" s="17"/>
      <c r="S11" s="55"/>
      <c r="T11" s="178"/>
      <c r="U11" s="178"/>
      <c r="V11" s="11" t="s">
        <v>324</v>
      </c>
      <c r="W11" s="17"/>
      <c r="X11" s="34">
        <f>X7/8.95</f>
        <v>719.88713167328808</v>
      </c>
      <c r="Y11" s="17"/>
      <c r="Z11" s="17"/>
      <c r="AA11" s="17"/>
      <c r="AB11" s="181">
        <v>0</v>
      </c>
      <c r="AC11" s="131">
        <f>+AB11*X11</f>
        <v>0</v>
      </c>
      <c r="AD11" s="17"/>
      <c r="AE11" s="7"/>
      <c r="AF11" s="178"/>
      <c r="AG11" s="178"/>
      <c r="AH11" s="178"/>
      <c r="AI11" s="178"/>
      <c r="AJ11" s="178"/>
      <c r="AK11" s="178"/>
      <c r="AL11" s="178"/>
      <c r="AM11" s="178"/>
      <c r="AN11" s="178"/>
    </row>
    <row r="12" spans="1:40">
      <c r="A12" s="29" t="s">
        <v>71</v>
      </c>
      <c r="B12" s="17"/>
      <c r="C12" s="277">
        <f>+superficies!D18</f>
        <v>109.12499999999999</v>
      </c>
      <c r="D12" s="3">
        <v>0.4</v>
      </c>
      <c r="E12" s="51"/>
      <c r="F12" s="51">
        <f t="shared" si="0"/>
        <v>43.65</v>
      </c>
      <c r="G12" s="18">
        <f t="shared" si="1"/>
        <v>19.31431566000856</v>
      </c>
      <c r="H12" s="169" t="s">
        <v>11</v>
      </c>
      <c r="I12" s="50"/>
      <c r="J12" s="50"/>
      <c r="K12" s="50"/>
      <c r="L12" s="69" t="s">
        <v>111</v>
      </c>
      <c r="M12" s="129">
        <v>0</v>
      </c>
      <c r="N12" s="84">
        <f>+mensual!V26</f>
        <v>0.45808660190271699</v>
      </c>
      <c r="O12" s="82">
        <f>+N12*M12/$M$36</f>
        <v>0</v>
      </c>
      <c r="P12" s="7"/>
      <c r="Q12" s="17"/>
      <c r="R12" s="17"/>
      <c r="S12" s="55"/>
      <c r="T12" s="178"/>
      <c r="U12" s="178"/>
      <c r="V12" s="14" t="s">
        <v>325</v>
      </c>
      <c r="W12" s="25"/>
      <c r="X12" s="36">
        <f>X7/3.48</f>
        <v>1851.4338587574505</v>
      </c>
      <c r="Y12" s="25"/>
      <c r="Z12" s="25"/>
      <c r="AA12" s="25"/>
      <c r="AB12" s="182">
        <v>180</v>
      </c>
      <c r="AC12" s="132">
        <f>+AB12*X12</f>
        <v>333258.0945763411</v>
      </c>
      <c r="AD12" s="17"/>
      <c r="AE12" s="7"/>
      <c r="AF12" s="178"/>
      <c r="AG12" s="178"/>
      <c r="AH12" s="178"/>
      <c r="AI12" s="178"/>
      <c r="AJ12" s="178"/>
      <c r="AK12" s="178"/>
      <c r="AL12" s="178"/>
      <c r="AM12" s="178"/>
      <c r="AN12" s="178"/>
    </row>
    <row r="13" spans="1:40">
      <c r="A13" s="29" t="s">
        <v>72</v>
      </c>
      <c r="B13" s="17"/>
      <c r="C13" s="277">
        <f>+superficies!E18</f>
        <v>0</v>
      </c>
      <c r="D13" s="3">
        <v>0.34</v>
      </c>
      <c r="E13" s="51"/>
      <c r="F13" s="51">
        <f t="shared" si="0"/>
        <v>0</v>
      </c>
      <c r="G13" s="18">
        <f t="shared" si="1"/>
        <v>0</v>
      </c>
      <c r="H13" s="169" t="s">
        <v>11</v>
      </c>
      <c r="I13" s="50"/>
      <c r="J13" s="50"/>
      <c r="K13" s="50"/>
      <c r="L13" s="29"/>
      <c r="M13" s="17"/>
      <c r="N13" s="82"/>
      <c r="O13" s="82"/>
      <c r="P13" s="7"/>
      <c r="Q13" s="17"/>
      <c r="R13" s="17"/>
      <c r="S13" s="55"/>
      <c r="T13" s="178"/>
      <c r="U13" s="178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178"/>
      <c r="AG13" s="178"/>
      <c r="AH13" s="178"/>
      <c r="AI13" s="178"/>
      <c r="AJ13" s="178"/>
      <c r="AK13" s="178"/>
      <c r="AL13" s="178"/>
      <c r="AM13" s="178"/>
      <c r="AN13" s="178"/>
    </row>
    <row r="14" spans="1:40">
      <c r="A14" s="29" t="s">
        <v>73</v>
      </c>
      <c r="B14" s="17"/>
      <c r="C14" s="277">
        <f>+superficies!G12</f>
        <v>3.36</v>
      </c>
      <c r="D14" s="3">
        <v>4.3</v>
      </c>
      <c r="E14" s="51"/>
      <c r="F14" s="51">
        <f t="shared" si="0"/>
        <v>14.447999999999999</v>
      </c>
      <c r="G14" s="18">
        <f t="shared" si="1"/>
        <v>6.3929721112440703</v>
      </c>
      <c r="H14" s="169" t="s">
        <v>11</v>
      </c>
      <c r="I14" s="50"/>
      <c r="J14" s="50"/>
      <c r="K14" s="50"/>
      <c r="L14" s="75" t="s">
        <v>140</v>
      </c>
      <c r="M14" s="71" t="s">
        <v>108</v>
      </c>
      <c r="N14" s="85" t="s">
        <v>76</v>
      </c>
      <c r="O14" s="83" t="s">
        <v>76</v>
      </c>
      <c r="P14" s="7"/>
      <c r="Q14" s="17"/>
      <c r="R14" s="17"/>
      <c r="S14" s="55"/>
      <c r="T14" s="178"/>
      <c r="U14" s="178"/>
      <c r="V14" s="17"/>
      <c r="W14" s="17"/>
      <c r="X14" s="17"/>
      <c r="Y14" s="17"/>
      <c r="Z14" s="17"/>
      <c r="AA14" s="17"/>
      <c r="AB14" s="17"/>
      <c r="AC14" s="17"/>
      <c r="AD14" s="17"/>
      <c r="AE14" s="7"/>
      <c r="AF14" s="178"/>
      <c r="AG14" s="178"/>
      <c r="AH14" s="178"/>
      <c r="AI14" s="178"/>
      <c r="AJ14" s="178"/>
      <c r="AK14" s="178"/>
      <c r="AL14" s="178"/>
      <c r="AM14" s="178"/>
      <c r="AN14" s="178"/>
    </row>
    <row r="15" spans="1:40">
      <c r="A15" s="29" t="s">
        <v>89</v>
      </c>
      <c r="B15" s="17"/>
      <c r="C15" s="277">
        <f>+superficies!F16</f>
        <v>4.3900000000000006</v>
      </c>
      <c r="D15" s="3">
        <v>2.64</v>
      </c>
      <c r="E15" s="51"/>
      <c r="F15" s="51">
        <f t="shared" si="0"/>
        <v>11.589600000000003</v>
      </c>
      <c r="G15" s="18">
        <f t="shared" si="1"/>
        <v>5.1281831104979441</v>
      </c>
      <c r="H15" s="169" t="s">
        <v>11</v>
      </c>
      <c r="I15" s="50"/>
      <c r="J15" s="50"/>
      <c r="K15" s="50"/>
      <c r="L15" s="75" t="s">
        <v>141</v>
      </c>
      <c r="M15" s="17" t="s">
        <v>139</v>
      </c>
      <c r="N15" s="82" t="s">
        <v>135</v>
      </c>
      <c r="O15" s="82" t="s">
        <v>136</v>
      </c>
      <c r="P15" s="7"/>
      <c r="Q15" s="17"/>
      <c r="R15" s="17"/>
      <c r="S15" s="55"/>
      <c r="T15" s="178"/>
      <c r="U15" s="178"/>
      <c r="V15" s="8" t="s">
        <v>106</v>
      </c>
      <c r="W15" s="9"/>
      <c r="X15" s="9"/>
      <c r="Y15" s="9"/>
      <c r="Z15" s="9"/>
      <c r="AA15" s="10"/>
      <c r="AB15" s="17"/>
      <c r="AC15" s="17"/>
      <c r="AD15" s="7"/>
      <c r="AE15" s="7"/>
      <c r="AF15" s="178"/>
      <c r="AG15" s="178"/>
      <c r="AH15" s="178"/>
      <c r="AI15" s="178"/>
      <c r="AJ15" s="178"/>
      <c r="AK15" s="178"/>
      <c r="AL15" s="178"/>
      <c r="AM15" s="178"/>
      <c r="AN15" s="178"/>
    </row>
    <row r="16" spans="1:40">
      <c r="A16" s="29" t="s">
        <v>13</v>
      </c>
      <c r="B16" s="17"/>
      <c r="C16" s="277">
        <f>+superficies!D21</f>
        <v>41.9</v>
      </c>
      <c r="D16" s="170">
        <v>0</v>
      </c>
      <c r="E16" s="51"/>
      <c r="F16" s="51">
        <f>IF(D16=0,((1.27*+superficies!D21)/1.024),(1.27*+superficies!D21)/(1.024+1/D16))</f>
        <v>51.9658203125</v>
      </c>
      <c r="G16" s="18">
        <f t="shared" si="1"/>
        <v>22.993911959837565</v>
      </c>
      <c r="H16" s="169" t="s">
        <v>11</v>
      </c>
      <c r="I16" s="50"/>
      <c r="J16" s="50"/>
      <c r="K16" s="50"/>
      <c r="L16" s="69" t="s">
        <v>124</v>
      </c>
      <c r="M16" s="129">
        <v>0</v>
      </c>
      <c r="N16" s="84">
        <f>+mensual!V27</f>
        <v>0.14902793961677438</v>
      </c>
      <c r="O16" s="82">
        <f t="shared" ref="O16:O21" si="2">+N16*M16/$M$36</f>
        <v>0</v>
      </c>
      <c r="P16" s="7"/>
      <c r="Q16" s="17"/>
      <c r="R16" s="17"/>
      <c r="S16" s="55"/>
      <c r="T16" s="178"/>
      <c r="U16" s="178"/>
      <c r="V16" s="8" t="s">
        <v>7</v>
      </c>
      <c r="W16" s="30"/>
      <c r="X16" s="56" t="s">
        <v>8</v>
      </c>
      <c r="Y16" s="8" t="s">
        <v>9</v>
      </c>
      <c r="Z16" s="30"/>
      <c r="AA16" s="56" t="s">
        <v>16</v>
      </c>
      <c r="AB16" s="17"/>
      <c r="AC16" s="17"/>
      <c r="AD16" s="7"/>
      <c r="AE16" s="7"/>
      <c r="AF16" s="178"/>
      <c r="AG16" s="178"/>
      <c r="AH16" s="178"/>
      <c r="AI16" s="178"/>
      <c r="AJ16" s="178"/>
      <c r="AK16" s="178"/>
      <c r="AL16" s="178"/>
      <c r="AM16" s="178"/>
      <c r="AN16" s="178"/>
    </row>
    <row r="17" spans="1:40" ht="14.25">
      <c r="A17" s="29" t="s">
        <v>14</v>
      </c>
      <c r="B17" s="17" t="s">
        <v>104</v>
      </c>
      <c r="C17" s="17">
        <f>+superficies!D22</f>
        <v>261.89999999999998</v>
      </c>
      <c r="D17" s="17" t="s">
        <v>122</v>
      </c>
      <c r="E17" s="17"/>
      <c r="F17" s="51">
        <f>0.35*$D20*0.9*C17</f>
        <v>41.249249999999996</v>
      </c>
      <c r="G17" s="18">
        <f>+(F17/$F$21)*100</f>
        <v>18.252028298708087</v>
      </c>
      <c r="H17" s="391" t="s">
        <v>11</v>
      </c>
      <c r="I17" s="50"/>
      <c r="J17" s="50"/>
      <c r="K17" s="50"/>
      <c r="L17" s="69" t="s">
        <v>112</v>
      </c>
      <c r="M17" s="129">
        <v>0</v>
      </c>
      <c r="N17" s="84">
        <f>+mensual!V28</f>
        <v>0.26682235823729783</v>
      </c>
      <c r="O17" s="82">
        <f t="shared" si="2"/>
        <v>0</v>
      </c>
      <c r="P17" s="7"/>
      <c r="Q17" s="17"/>
      <c r="R17" s="17"/>
      <c r="S17" s="55"/>
      <c r="T17" s="178"/>
      <c r="U17" s="178"/>
      <c r="V17" s="8" t="s">
        <v>15</v>
      </c>
      <c r="W17" s="10"/>
      <c r="X17" s="13"/>
      <c r="Y17" s="12"/>
      <c r="Z17" s="10"/>
      <c r="AA17" s="57">
        <f>F21</f>
        <v>225.99817031249998</v>
      </c>
      <c r="AB17" s="17"/>
      <c r="AC17" s="17"/>
      <c r="AD17" s="7"/>
      <c r="AE17" s="7"/>
      <c r="AF17" s="178"/>
      <c r="AG17" s="178"/>
      <c r="AH17" s="178"/>
      <c r="AI17" s="178"/>
      <c r="AJ17" s="178"/>
      <c r="AK17" s="178"/>
      <c r="AL17" s="178"/>
      <c r="AM17" s="178"/>
      <c r="AN17" s="178"/>
    </row>
    <row r="18" spans="1:40">
      <c r="A18" s="29"/>
      <c r="B18" s="17" t="s">
        <v>432</v>
      </c>
      <c r="C18" s="17">
        <f>VLOOKUP(Lugar!E84,Lugar!A64:F84,6)</f>
        <v>191</v>
      </c>
      <c r="D18" s="17" t="s">
        <v>431</v>
      </c>
      <c r="E18" s="17"/>
      <c r="F18" s="17"/>
      <c r="G18" s="17" t="s">
        <v>2</v>
      </c>
      <c r="H18" s="55"/>
      <c r="I18" s="50"/>
      <c r="J18" s="50"/>
      <c r="K18" s="50"/>
      <c r="L18" s="69" t="s">
        <v>125</v>
      </c>
      <c r="M18" s="129">
        <v>0</v>
      </c>
      <c r="N18" s="84">
        <f>+mensual!V29</f>
        <v>0.26152666317541223</v>
      </c>
      <c r="O18" s="82">
        <f t="shared" si="2"/>
        <v>0</v>
      </c>
      <c r="P18" s="7"/>
      <c r="Q18" s="17"/>
      <c r="R18" s="17"/>
      <c r="S18" s="55"/>
      <c r="T18" s="178"/>
      <c r="U18" s="178"/>
      <c r="V18" s="11" t="s">
        <v>17</v>
      </c>
      <c r="W18" s="19"/>
      <c r="X18" s="58">
        <f>+superficies!G8</f>
        <v>18</v>
      </c>
      <c r="Y18" s="2">
        <v>4.3</v>
      </c>
      <c r="Z18" s="19"/>
      <c r="AA18" s="59">
        <f>X18*Y18</f>
        <v>77.399999999999991</v>
      </c>
      <c r="AB18" s="17"/>
      <c r="AC18" s="17"/>
      <c r="AD18" s="7"/>
      <c r="AE18" s="7"/>
      <c r="AF18" s="178"/>
      <c r="AG18" s="178"/>
      <c r="AH18" s="178"/>
      <c r="AI18" s="178"/>
      <c r="AJ18" s="178"/>
      <c r="AK18" s="178"/>
      <c r="AL18" s="178"/>
      <c r="AM18" s="178"/>
      <c r="AN18" s="178"/>
    </row>
    <row r="19" spans="1:40">
      <c r="A19" s="29"/>
      <c r="B19" s="17" t="s">
        <v>295</v>
      </c>
      <c r="C19" s="17">
        <f>-0.00008*C18+ 0.9927</f>
        <v>0.97742000000000007</v>
      </c>
      <c r="D19" s="17"/>
      <c r="E19" s="17"/>
      <c r="F19" s="17"/>
      <c r="G19" s="17"/>
      <c r="H19" s="55"/>
      <c r="I19" s="50"/>
      <c r="J19" s="50"/>
      <c r="K19" s="50"/>
      <c r="L19" s="69" t="s">
        <v>113</v>
      </c>
      <c r="M19" s="129">
        <v>0</v>
      </c>
      <c r="N19" s="84">
        <f>+mensual!V30</f>
        <v>0.35167303614214102</v>
      </c>
      <c r="O19" s="82">
        <f t="shared" si="2"/>
        <v>0</v>
      </c>
      <c r="P19" s="7"/>
      <c r="Q19" s="17"/>
      <c r="R19" s="17"/>
      <c r="S19" s="55"/>
      <c r="T19" s="178"/>
      <c r="U19" s="178"/>
      <c r="V19" s="11" t="s">
        <v>18</v>
      </c>
      <c r="W19" s="19"/>
      <c r="X19" s="58">
        <f>+superficies!G10+superficies!G14</f>
        <v>2.88</v>
      </c>
      <c r="Y19" s="4">
        <v>4.3</v>
      </c>
      <c r="Z19" s="19"/>
      <c r="AA19" s="59">
        <f>X19*Y19</f>
        <v>12.383999999999999</v>
      </c>
      <c r="AB19" s="17"/>
      <c r="AC19" s="17"/>
      <c r="AD19" s="7"/>
      <c r="AE19" s="7"/>
      <c r="AF19" s="178"/>
      <c r="AG19" s="178"/>
      <c r="AH19" s="178"/>
      <c r="AI19" s="178"/>
      <c r="AJ19" s="178"/>
      <c r="AK19" s="178"/>
      <c r="AL19" s="178"/>
      <c r="AM19" s="178"/>
      <c r="AN19" s="178"/>
    </row>
    <row r="20" spans="1:40" ht="13.5" thickBot="1">
      <c r="A20" s="29"/>
      <c r="B20" s="17"/>
      <c r="C20" s="17" t="s">
        <v>209</v>
      </c>
      <c r="D20" s="281">
        <v>0.5</v>
      </c>
      <c r="E20" s="17"/>
      <c r="F20" s="17"/>
      <c r="G20" s="17"/>
      <c r="H20" s="55"/>
      <c r="I20" s="50"/>
      <c r="J20" s="50"/>
      <c r="K20" s="7"/>
      <c r="L20" s="69" t="s">
        <v>126</v>
      </c>
      <c r="M20" s="129">
        <v>0</v>
      </c>
      <c r="N20" s="84">
        <f>+mensual!V31</f>
        <v>0.2285651534918321</v>
      </c>
      <c r="O20" s="82">
        <f t="shared" si="2"/>
        <v>0</v>
      </c>
      <c r="P20" s="7"/>
      <c r="Q20" s="17"/>
      <c r="R20" s="17"/>
      <c r="S20" s="55"/>
      <c r="T20" s="178"/>
      <c r="U20" s="178"/>
      <c r="V20" s="23" t="s">
        <v>19</v>
      </c>
      <c r="W20" s="15"/>
      <c r="X20" s="60"/>
      <c r="Y20" s="14"/>
      <c r="Z20" s="15"/>
      <c r="AA20" s="59">
        <f>+AA19+AA18+AA17</f>
        <v>315.78217031249994</v>
      </c>
      <c r="AB20" s="17"/>
      <c r="AC20" s="17"/>
      <c r="AD20" s="7"/>
      <c r="AE20" s="7"/>
      <c r="AF20" s="178"/>
      <c r="AG20" s="178"/>
      <c r="AH20" s="178"/>
      <c r="AI20" s="178"/>
      <c r="AJ20" s="178"/>
      <c r="AK20" s="178"/>
      <c r="AL20" s="178"/>
      <c r="AM20" s="178"/>
      <c r="AN20" s="178"/>
    </row>
    <row r="21" spans="1:40" ht="15" thickBot="1">
      <c r="A21" s="39" t="s">
        <v>15</v>
      </c>
      <c r="B21" s="173"/>
      <c r="C21" s="173"/>
      <c r="D21" s="280" t="s">
        <v>2</v>
      </c>
      <c r="E21" s="174"/>
      <c r="F21" s="175">
        <f>SUM(F10:F19)</f>
        <v>225.99817031249998</v>
      </c>
      <c r="G21" s="70">
        <f>(+F21/$F$21)*100</f>
        <v>100</v>
      </c>
      <c r="H21" s="172" t="s">
        <v>11</v>
      </c>
      <c r="I21" s="7"/>
      <c r="J21" s="50"/>
      <c r="K21" s="50"/>
      <c r="L21" s="69" t="s">
        <v>114</v>
      </c>
      <c r="M21" s="129">
        <v>0</v>
      </c>
      <c r="N21" s="84">
        <f>+mensual!V32</f>
        <v>0.14494437438856614</v>
      </c>
      <c r="O21" s="82">
        <f t="shared" si="2"/>
        <v>0</v>
      </c>
      <c r="P21" s="7"/>
      <c r="Q21" s="17"/>
      <c r="R21" s="17"/>
      <c r="S21" s="55"/>
      <c r="T21" s="178"/>
      <c r="U21" s="178"/>
      <c r="V21" s="76" t="s">
        <v>427</v>
      </c>
      <c r="W21" s="17"/>
      <c r="X21" s="17"/>
      <c r="Y21" s="17"/>
      <c r="Z21" s="17"/>
      <c r="AA21" s="61">
        <f>(AA20)/C17</f>
        <v>1.2057356636597938</v>
      </c>
      <c r="AB21" s="76" t="s">
        <v>405</v>
      </c>
      <c r="AC21" s="17"/>
      <c r="AD21" s="7"/>
      <c r="AE21" s="7"/>
      <c r="AF21" s="178"/>
      <c r="AG21" s="178"/>
      <c r="AH21" s="178"/>
      <c r="AI21" s="178"/>
      <c r="AJ21" s="178"/>
      <c r="AK21" s="178"/>
      <c r="AL21" s="178"/>
      <c r="AM21" s="178"/>
      <c r="AN21" s="178"/>
    </row>
    <row r="22" spans="1:40">
      <c r="A22" s="44"/>
      <c r="B22" s="44"/>
      <c r="C22" s="44"/>
      <c r="D22" s="176"/>
      <c r="E22" s="176"/>
      <c r="F22" s="176"/>
      <c r="G22" s="34"/>
      <c r="H22" s="177"/>
      <c r="I22" s="17"/>
      <c r="J22" s="51"/>
      <c r="K22" s="7"/>
      <c r="L22" s="478" t="s">
        <v>619</v>
      </c>
      <c r="M22" s="129">
        <v>0</v>
      </c>
      <c r="N22" s="84">
        <f>+mensual!V33</f>
        <v>0.17044697162107139</v>
      </c>
      <c r="O22" s="82">
        <f t="shared" ref="O22:O24" si="3">+N22*M22/$M$36</f>
        <v>0</v>
      </c>
      <c r="P22" s="7"/>
      <c r="T22" s="178"/>
      <c r="U22" s="178"/>
      <c r="V22" s="7"/>
      <c r="W22" s="7"/>
      <c r="X22" s="7"/>
      <c r="Y22" s="7"/>
      <c r="Z22" s="7"/>
      <c r="AA22" s="7"/>
      <c r="AB22" s="17"/>
      <c r="AC22" s="17"/>
      <c r="AD22" s="7"/>
      <c r="AE22" s="7"/>
      <c r="AF22" s="178"/>
      <c r="AG22" s="178"/>
      <c r="AH22" s="178"/>
      <c r="AI22" s="178"/>
      <c r="AJ22" s="178"/>
      <c r="AK22" s="178"/>
      <c r="AL22" s="178"/>
      <c r="AM22" s="178"/>
      <c r="AN22" s="178"/>
    </row>
    <row r="23" spans="1:40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7"/>
      <c r="L23" s="478" t="s">
        <v>620</v>
      </c>
      <c r="M23" s="129">
        <v>0</v>
      </c>
      <c r="N23" s="84">
        <f>+mensual!V34</f>
        <v>0.28141827156081223</v>
      </c>
      <c r="O23" s="82">
        <f t="shared" si="3"/>
        <v>0</v>
      </c>
      <c r="P23" s="7"/>
      <c r="T23" s="178"/>
      <c r="U23" s="178"/>
      <c r="V23" s="321" t="s">
        <v>536</v>
      </c>
      <c r="W23" s="7"/>
      <c r="X23" s="368">
        <v>24</v>
      </c>
      <c r="Y23" s="7" t="s">
        <v>98</v>
      </c>
      <c r="Z23" s="496" t="str">
        <f>IF(+E4&lt;800,"CASI NO SERIA NECESARIO CALEF. AUX."," ")</f>
        <v xml:space="preserve"> </v>
      </c>
      <c r="AA23" s="7"/>
      <c r="AB23" s="17"/>
      <c r="AC23" s="17"/>
      <c r="AD23" s="7"/>
      <c r="AE23" s="7"/>
      <c r="AF23" s="178"/>
      <c r="AG23" s="178"/>
      <c r="AH23" s="178"/>
      <c r="AI23" s="178"/>
      <c r="AJ23" s="178"/>
      <c r="AK23" s="178"/>
      <c r="AL23" s="178"/>
      <c r="AM23" s="178"/>
      <c r="AN23" s="178"/>
    </row>
    <row r="24" spans="1:40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7"/>
      <c r="L24" s="69" t="s">
        <v>115</v>
      </c>
      <c r="M24" s="129">
        <v>0</v>
      </c>
      <c r="N24" s="84">
        <f>+mensual!V35</f>
        <v>0.20769620507487163</v>
      </c>
      <c r="O24" s="82">
        <f t="shared" si="3"/>
        <v>0</v>
      </c>
      <c r="P24" s="7"/>
      <c r="Q24" s="17"/>
      <c r="R24" s="17"/>
      <c r="S24" s="55"/>
      <c r="T24" s="178"/>
      <c r="U24" s="178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178"/>
      <c r="AG24" s="178"/>
      <c r="AH24" s="178"/>
      <c r="AI24" s="178"/>
      <c r="AJ24" s="178"/>
      <c r="AK24" s="178"/>
      <c r="AL24" s="178"/>
      <c r="AM24" s="178"/>
      <c r="AN24" s="178"/>
    </row>
    <row r="25" spans="1:40" ht="13.5" thickBo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7"/>
      <c r="L25" s="69" t="s">
        <v>116</v>
      </c>
      <c r="M25" s="129">
        <v>0</v>
      </c>
      <c r="N25" s="84">
        <f>+mensual!V36</f>
        <v>0.33561498735595369</v>
      </c>
      <c r="O25" s="82">
        <f>+N25*M25/$M$36</f>
        <v>0</v>
      </c>
      <c r="P25" s="7"/>
      <c r="Q25" s="17"/>
      <c r="R25" s="17"/>
      <c r="S25" s="55"/>
      <c r="T25" s="178"/>
      <c r="U25" s="178"/>
      <c r="V25" s="8" t="s">
        <v>107</v>
      </c>
      <c r="W25" s="9"/>
      <c r="X25" s="9"/>
      <c r="Y25" s="9"/>
      <c r="Z25" s="9"/>
      <c r="AA25" s="9"/>
      <c r="AB25" s="9"/>
      <c r="AC25" s="10"/>
      <c r="AD25" s="7"/>
      <c r="AE25" s="7"/>
      <c r="AF25" s="178"/>
      <c r="AG25" s="178"/>
      <c r="AH25" s="178"/>
      <c r="AI25" s="178"/>
      <c r="AJ25" s="178"/>
      <c r="AK25" s="178"/>
      <c r="AL25" s="178"/>
      <c r="AM25" s="178"/>
      <c r="AN25" s="178"/>
    </row>
    <row r="26" spans="1:40" ht="13.5" thickBo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69" t="s">
        <v>117</v>
      </c>
      <c r="M26" s="129">
        <v>0</v>
      </c>
      <c r="N26" s="84">
        <f>+mensual!V37</f>
        <v>0.36241893226116523</v>
      </c>
      <c r="O26" s="82">
        <f>+N26*M26/$M$36</f>
        <v>0</v>
      </c>
      <c r="P26" s="7"/>
      <c r="Q26" s="17"/>
      <c r="R26" s="17"/>
      <c r="S26" s="55"/>
      <c r="T26" s="178"/>
      <c r="U26" s="178"/>
      <c r="V26" s="251" t="s">
        <v>406</v>
      </c>
      <c r="W26" s="25"/>
      <c r="X26" s="25"/>
      <c r="Y26" s="62">
        <f>+AA20*(X23-H3)*3600/4186/Z6</f>
        <v>7668.0193122734036</v>
      </c>
      <c r="Z26" s="63" t="s">
        <v>75</v>
      </c>
      <c r="AA26" s="25"/>
      <c r="AB26" s="25"/>
      <c r="AC26" s="15"/>
      <c r="AD26" s="7"/>
      <c r="AE26" s="7"/>
      <c r="AF26" s="178"/>
      <c r="AG26" s="178"/>
      <c r="AH26" s="178"/>
      <c r="AI26" s="178"/>
      <c r="AJ26" s="178"/>
      <c r="AK26" s="178"/>
      <c r="AL26" s="178"/>
      <c r="AM26" s="178"/>
      <c r="AN26" s="178"/>
    </row>
    <row r="27" spans="1:40">
      <c r="A27" s="178"/>
      <c r="B27" s="178"/>
      <c r="C27" s="178"/>
      <c r="D27" s="178"/>
      <c r="E27" s="178"/>
      <c r="F27" s="178"/>
      <c r="G27" s="178"/>
      <c r="H27" s="178"/>
      <c r="I27" s="171"/>
      <c r="J27" s="165"/>
      <c r="K27" s="7"/>
      <c r="L27" s="69" t="s">
        <v>118</v>
      </c>
      <c r="M27" s="129">
        <v>0</v>
      </c>
      <c r="N27" s="84">
        <f>+mensual!V38</f>
        <v>0.43000837305756257</v>
      </c>
      <c r="O27" s="82">
        <f>+N27*M27/$M$36</f>
        <v>0</v>
      </c>
      <c r="P27" s="7"/>
      <c r="Q27" s="17"/>
      <c r="R27" s="17"/>
      <c r="S27" s="55"/>
      <c r="T27" s="178"/>
      <c r="U27" s="178"/>
      <c r="V27" s="140" t="s">
        <v>434</v>
      </c>
      <c r="W27" s="7"/>
      <c r="X27" s="178"/>
      <c r="Y27" s="178"/>
      <c r="Z27" s="7"/>
      <c r="AA27" s="7"/>
      <c r="AB27" s="7"/>
      <c r="AC27" s="7"/>
      <c r="AD27" s="7"/>
      <c r="AE27" s="7"/>
      <c r="AF27" s="178"/>
      <c r="AG27" s="178"/>
      <c r="AH27" s="178"/>
      <c r="AI27" s="178"/>
      <c r="AJ27" s="178"/>
      <c r="AK27" s="178"/>
      <c r="AL27" s="178"/>
      <c r="AM27" s="178"/>
      <c r="AN27" s="178"/>
    </row>
    <row r="28" spans="1:40">
      <c r="A28" s="178"/>
      <c r="B28" s="178"/>
      <c r="C28" s="178"/>
      <c r="D28" s="178"/>
      <c r="E28" s="178"/>
      <c r="F28" s="178"/>
      <c r="G28" s="178"/>
      <c r="H28" s="178"/>
      <c r="I28" s="171"/>
      <c r="J28" s="165"/>
      <c r="K28" s="7"/>
      <c r="L28" s="29"/>
      <c r="M28" s="17"/>
      <c r="N28" s="82"/>
      <c r="O28" s="82"/>
      <c r="P28" s="7"/>
      <c r="Q28" s="17"/>
      <c r="R28" s="17"/>
      <c r="S28" s="55"/>
      <c r="T28" s="178"/>
      <c r="U28" s="178"/>
      <c r="V28" s="76" t="s">
        <v>433</v>
      </c>
      <c r="W28" s="7"/>
      <c r="X28" s="178"/>
      <c r="Y28" s="178"/>
      <c r="Z28" s="178"/>
      <c r="AA28" s="178"/>
      <c r="AB28" s="87">
        <f>+H4</f>
        <v>-2.4491400000000008</v>
      </c>
      <c r="AC28" s="87" t="str">
        <f>+I4</f>
        <v>°C</v>
      </c>
      <c r="AD28" s="7"/>
      <c r="AE28" s="7"/>
      <c r="AF28" s="178"/>
      <c r="AG28" s="178"/>
      <c r="AH28" s="178"/>
      <c r="AI28" s="178"/>
      <c r="AJ28" s="178"/>
      <c r="AK28" s="178"/>
      <c r="AL28" s="178"/>
      <c r="AM28" s="178"/>
      <c r="AN28" s="178"/>
    </row>
    <row r="29" spans="1:40">
      <c r="A29" s="178"/>
      <c r="B29" s="178"/>
      <c r="C29" s="178"/>
      <c r="D29" s="178"/>
      <c r="E29" s="178"/>
      <c r="F29" s="178"/>
      <c r="G29" s="178"/>
      <c r="H29" s="178"/>
      <c r="I29" s="165"/>
      <c r="J29" s="7"/>
      <c r="K29" s="7"/>
      <c r="L29" s="74" t="s">
        <v>142</v>
      </c>
      <c r="M29" s="71" t="s">
        <v>108</v>
      </c>
      <c r="N29" s="85" t="s">
        <v>76</v>
      </c>
      <c r="O29" s="83" t="s">
        <v>76</v>
      </c>
      <c r="P29" s="7"/>
      <c r="Q29" s="17"/>
      <c r="R29" s="17"/>
      <c r="S29" s="55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</row>
    <row r="30" spans="1:40">
      <c r="A30" s="178"/>
      <c r="B30" s="178"/>
      <c r="C30" s="178"/>
      <c r="D30" s="178"/>
      <c r="E30" s="178"/>
      <c r="F30" s="178"/>
      <c r="G30" s="178"/>
      <c r="H30" s="178"/>
      <c r="I30" s="165"/>
      <c r="J30" s="7"/>
      <c r="K30" s="7"/>
      <c r="L30" s="29"/>
      <c r="M30" s="17" t="s">
        <v>139</v>
      </c>
      <c r="N30" s="82" t="s">
        <v>135</v>
      </c>
      <c r="O30" s="82" t="s">
        <v>136</v>
      </c>
      <c r="P30" s="7"/>
      <c r="Q30" s="17"/>
      <c r="R30" s="17"/>
      <c r="S30" s="55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</row>
    <row r="31" spans="1:40">
      <c r="A31" s="178"/>
      <c r="B31" s="178"/>
      <c r="C31" s="178"/>
      <c r="D31" s="178"/>
      <c r="E31" s="178"/>
      <c r="F31" s="178"/>
      <c r="G31" s="178"/>
      <c r="H31" s="178"/>
      <c r="I31" s="165"/>
      <c r="J31" s="7"/>
      <c r="K31" s="7"/>
      <c r="L31" s="69" t="s">
        <v>119</v>
      </c>
      <c r="M31" s="129">
        <v>0</v>
      </c>
      <c r="N31" s="84">
        <f>+mensual!V39</f>
        <v>0.21280456042385754</v>
      </c>
      <c r="O31" s="82">
        <f>+N31*M31/$M$36</f>
        <v>0</v>
      </c>
      <c r="P31" s="7"/>
      <c r="Q31" s="17"/>
      <c r="R31" s="17"/>
      <c r="S31" s="55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</row>
    <row r="32" spans="1:40">
      <c r="A32" s="178"/>
      <c r="B32" s="178"/>
      <c r="C32" s="178"/>
      <c r="D32" s="178"/>
      <c r="E32" s="178"/>
      <c r="F32" s="178"/>
      <c r="G32" s="178"/>
      <c r="H32" s="178"/>
      <c r="I32" s="165"/>
      <c r="J32" s="7"/>
      <c r="K32" s="7"/>
      <c r="L32" s="69" t="s">
        <v>120</v>
      </c>
      <c r="M32" s="129">
        <v>0</v>
      </c>
      <c r="N32" s="84">
        <f>+mensual!V40</f>
        <v>0.18374470636984913</v>
      </c>
      <c r="O32" s="82">
        <f>+N32*M32/$M$36</f>
        <v>0</v>
      </c>
      <c r="P32" s="7"/>
      <c r="Q32" s="17"/>
      <c r="R32" s="17"/>
      <c r="S32" s="55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</row>
    <row r="33" spans="1:40">
      <c r="A33" s="178"/>
      <c r="B33" s="178"/>
      <c r="C33" s="178"/>
      <c r="D33" s="178"/>
      <c r="E33" s="178"/>
      <c r="F33" s="178"/>
      <c r="G33" s="178"/>
      <c r="H33" s="178"/>
      <c r="I33" s="165"/>
      <c r="J33" s="7"/>
      <c r="K33" s="7"/>
      <c r="L33" s="69" t="s">
        <v>127</v>
      </c>
      <c r="M33" s="129">
        <v>0</v>
      </c>
      <c r="N33" s="84">
        <f>+mensual!V41</f>
        <v>0.35947059001055059</v>
      </c>
      <c r="O33" s="82">
        <f>+N33*M33/$M$36</f>
        <v>0</v>
      </c>
      <c r="P33" s="7"/>
      <c r="Q33" s="17"/>
      <c r="R33" s="17"/>
      <c r="S33" s="55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</row>
    <row r="34" spans="1:40">
      <c r="A34" s="178"/>
      <c r="B34" s="178"/>
      <c r="C34" s="178"/>
      <c r="D34" s="178"/>
      <c r="E34" s="178"/>
      <c r="F34" s="178"/>
      <c r="G34" s="178"/>
      <c r="H34" s="178"/>
      <c r="I34" s="165"/>
      <c r="J34" s="7"/>
      <c r="K34" s="7"/>
      <c r="L34" s="69" t="s">
        <v>128</v>
      </c>
      <c r="M34" s="129">
        <v>0</v>
      </c>
      <c r="N34" s="84">
        <f>+mensual!V42</f>
        <v>0.34598539353401175</v>
      </c>
      <c r="O34" s="82">
        <f>+N34*M34/$M$36</f>
        <v>0</v>
      </c>
      <c r="P34" s="7"/>
      <c r="Q34" s="17"/>
      <c r="R34" s="17"/>
      <c r="S34" s="55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</row>
    <row r="35" spans="1:40">
      <c r="A35" s="178"/>
      <c r="B35" s="178"/>
      <c r="C35" s="178"/>
      <c r="D35" s="178"/>
      <c r="E35" s="178"/>
      <c r="F35" s="178"/>
      <c r="G35" s="178"/>
      <c r="H35" s="178"/>
      <c r="I35" s="165"/>
      <c r="J35" s="7"/>
      <c r="K35" s="7"/>
      <c r="L35" s="29"/>
      <c r="M35" s="17"/>
      <c r="N35" s="17"/>
      <c r="O35" s="7"/>
      <c r="P35" s="17"/>
      <c r="Q35" s="17"/>
      <c r="R35" s="17"/>
      <c r="S35" s="55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</row>
    <row r="36" spans="1:40" ht="13.5" thickBot="1">
      <c r="A36" s="178"/>
      <c r="B36" s="178"/>
      <c r="C36" s="178"/>
      <c r="D36" s="178"/>
      <c r="E36" s="178"/>
      <c r="F36" s="178"/>
      <c r="G36" s="178"/>
      <c r="H36" s="178"/>
      <c r="I36" s="165"/>
      <c r="J36" s="7"/>
      <c r="K36" s="7"/>
      <c r="L36" s="53" t="s">
        <v>0</v>
      </c>
      <c r="M36" s="70">
        <f>SUM(M9:M34)</f>
        <v>18</v>
      </c>
      <c r="N36" s="47" t="s">
        <v>27</v>
      </c>
      <c r="O36" s="47"/>
      <c r="P36" s="54"/>
      <c r="Q36" s="47"/>
      <c r="R36" s="70"/>
      <c r="S36" s="49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</row>
    <row r="37" spans="1:40">
      <c r="A37" s="178"/>
      <c r="B37" s="178"/>
      <c r="C37" s="178"/>
      <c r="D37" s="178"/>
      <c r="E37" s="178"/>
      <c r="F37" s="178"/>
      <c r="G37" s="178"/>
      <c r="H37" s="178"/>
      <c r="I37" s="165"/>
      <c r="J37" s="7"/>
      <c r="K37" s="7"/>
      <c r="L37" s="68" t="s">
        <v>145</v>
      </c>
      <c r="M37" s="27"/>
      <c r="N37" s="27"/>
      <c r="O37" s="27"/>
      <c r="P37" s="27"/>
      <c r="Q37" s="86">
        <f>SUM(O9:O34)</f>
        <v>0.38309097434298717</v>
      </c>
      <c r="R37" s="27"/>
      <c r="S37" s="2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</row>
    <row r="38" spans="1:40" ht="13.5" thickBot="1">
      <c r="A38" s="178"/>
      <c r="B38" s="178"/>
      <c r="C38" s="178"/>
      <c r="D38" s="178"/>
      <c r="E38" s="178"/>
      <c r="F38" s="178"/>
      <c r="G38" s="178"/>
      <c r="H38" s="178"/>
      <c r="I38" s="165"/>
      <c r="J38" s="7"/>
      <c r="K38" s="7"/>
      <c r="L38" s="31" t="s">
        <v>146</v>
      </c>
      <c r="M38" s="47"/>
      <c r="N38" s="47"/>
      <c r="O38" s="47"/>
      <c r="P38" s="47"/>
      <c r="Q38" s="47"/>
      <c r="R38" s="47"/>
      <c r="S38" s="49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</row>
    <row r="39" spans="1:40" ht="13.5" thickBot="1">
      <c r="A39" s="178"/>
      <c r="B39" s="178"/>
      <c r="C39" s="178"/>
      <c r="D39" s="178"/>
      <c r="E39" s="178"/>
      <c r="F39" s="178"/>
      <c r="G39" s="178"/>
      <c r="H39" s="178"/>
      <c r="I39" s="165"/>
      <c r="J39" s="7"/>
      <c r="K39" s="7"/>
      <c r="L39" s="7"/>
      <c r="M39" s="7"/>
      <c r="N39" s="7"/>
      <c r="O39" s="7"/>
      <c r="P39" s="7"/>
      <c r="Q39" s="7"/>
      <c r="R39" s="7"/>
      <c r="S39" s="7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</row>
    <row r="40" spans="1:40">
      <c r="A40" s="178"/>
      <c r="B40" s="178"/>
      <c r="C40" s="178"/>
      <c r="D40" s="178"/>
      <c r="E40" s="178"/>
      <c r="F40" s="178"/>
      <c r="G40" s="178"/>
      <c r="H40" s="178"/>
      <c r="I40" s="165"/>
      <c r="J40" s="7"/>
      <c r="K40" s="7"/>
      <c r="L40" s="26" t="s">
        <v>316</v>
      </c>
      <c r="M40" s="27"/>
      <c r="N40" s="27"/>
      <c r="O40" s="27"/>
      <c r="P40" s="27"/>
      <c r="Q40" s="27"/>
      <c r="R40" s="27"/>
      <c r="S40" s="28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</row>
    <row r="41" spans="1:40">
      <c r="A41" s="178"/>
      <c r="B41" s="178"/>
      <c r="C41" s="178"/>
      <c r="D41" s="178"/>
      <c r="E41" s="178"/>
      <c r="F41" s="178"/>
      <c r="G41" s="178"/>
      <c r="H41" s="178"/>
      <c r="I41" s="165"/>
      <c r="J41" s="7"/>
      <c r="K41" s="7"/>
      <c r="L41" s="29"/>
      <c r="M41" s="17"/>
      <c r="N41" s="17"/>
      <c r="O41" s="17"/>
      <c r="P41" s="17"/>
      <c r="Q41" s="17"/>
      <c r="R41" s="17"/>
      <c r="S41" s="55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</row>
    <row r="42" spans="1:40" ht="13.5" thickBot="1">
      <c r="A42" s="178"/>
      <c r="B42" s="178"/>
      <c r="C42" s="178"/>
      <c r="D42" s="178"/>
      <c r="E42" s="178"/>
      <c r="F42" s="178"/>
      <c r="G42" s="178"/>
      <c r="H42" s="178"/>
      <c r="I42" s="165"/>
      <c r="J42" s="7"/>
      <c r="K42" s="7"/>
      <c r="L42" s="53" t="s">
        <v>20</v>
      </c>
      <c r="M42" s="125">
        <f>F21/M36</f>
        <v>12.555453906249999</v>
      </c>
      <c r="N42" s="47" t="s">
        <v>314</v>
      </c>
      <c r="O42" s="47"/>
      <c r="P42" s="47"/>
      <c r="Q42" s="47"/>
      <c r="R42" s="47"/>
      <c r="S42" s="49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</row>
    <row r="43" spans="1:40">
      <c r="A43" s="178"/>
      <c r="B43" s="178"/>
      <c r="C43" s="178"/>
      <c r="D43" s="178"/>
      <c r="E43" s="178"/>
      <c r="F43" s="178"/>
      <c r="G43" s="178"/>
      <c r="H43" s="178"/>
      <c r="I43" s="165"/>
      <c r="J43" s="7"/>
      <c r="K43" s="7"/>
      <c r="L43" s="7"/>
      <c r="M43" s="7"/>
      <c r="N43" s="7"/>
      <c r="O43" s="7"/>
      <c r="P43" s="165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</row>
    <row r="44" spans="1:40">
      <c r="A44" s="178"/>
      <c r="B44" s="178"/>
      <c r="C44" s="178"/>
      <c r="D44" s="178"/>
      <c r="E44" s="178"/>
      <c r="F44" s="178"/>
      <c r="G44" s="178"/>
      <c r="H44" s="178"/>
      <c r="I44" s="165"/>
      <c r="J44" s="7"/>
      <c r="K44" s="7"/>
      <c r="L44" s="140" t="s">
        <v>625</v>
      </c>
      <c r="M44" s="7"/>
      <c r="N44" s="7"/>
      <c r="O44" s="7"/>
      <c r="P44" s="165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</row>
    <row r="45" spans="1:40">
      <c r="A45" s="178"/>
      <c r="B45" s="178"/>
      <c r="C45" s="178"/>
      <c r="D45" s="178"/>
      <c r="E45" s="178"/>
      <c r="F45" s="178"/>
      <c r="G45" s="178"/>
      <c r="H45" s="178"/>
      <c r="I45" s="165"/>
      <c r="J45" s="7"/>
      <c r="K45" s="7"/>
      <c r="L45" s="7" t="s">
        <v>665</v>
      </c>
      <c r="M45" s="7"/>
      <c r="N45" s="7"/>
      <c r="O45" s="7"/>
      <c r="P45" s="165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</row>
    <row r="46" spans="1:40">
      <c r="A46" s="178"/>
      <c r="B46" s="178"/>
      <c r="C46" s="178"/>
      <c r="D46" s="178"/>
      <c r="E46" s="178"/>
      <c r="F46" s="178"/>
      <c r="G46" s="178"/>
      <c r="H46" s="178"/>
      <c r="I46" s="165"/>
      <c r="J46" s="7"/>
      <c r="K46" s="7"/>
      <c r="L46" s="7"/>
      <c r="M46" s="7"/>
      <c r="N46" s="7"/>
      <c r="O46" s="7"/>
      <c r="P46" s="165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</row>
    <row r="47" spans="1:40">
      <c r="A47" s="178"/>
      <c r="B47" s="178"/>
      <c r="C47" s="178"/>
      <c r="D47" s="178"/>
      <c r="E47" s="178"/>
      <c r="F47" s="178"/>
      <c r="G47" s="178"/>
      <c r="H47" s="178"/>
      <c r="I47" s="165"/>
      <c r="J47" s="7"/>
      <c r="K47" s="7"/>
      <c r="L47" s="7"/>
      <c r="M47" s="7"/>
      <c r="N47" s="7"/>
      <c r="O47" s="7"/>
      <c r="P47" s="165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</row>
    <row r="48" spans="1:40">
      <c r="A48" s="178"/>
      <c r="B48" s="178"/>
      <c r="C48" s="178"/>
      <c r="D48" s="178"/>
      <c r="E48" s="178"/>
      <c r="F48" s="178"/>
      <c r="G48" s="178"/>
      <c r="H48" s="178"/>
      <c r="I48" s="165"/>
      <c r="J48" s="7"/>
      <c r="K48" s="7"/>
      <c r="L48" s="7"/>
      <c r="M48" s="7"/>
      <c r="N48" s="7"/>
      <c r="O48" s="7"/>
      <c r="P48" s="165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</row>
    <row r="49" spans="1:40">
      <c r="A49" s="178"/>
      <c r="B49" s="178"/>
      <c r="C49" s="178"/>
      <c r="D49" s="178"/>
      <c r="E49" s="178"/>
      <c r="F49" s="178"/>
      <c r="G49" s="178"/>
      <c r="H49" s="178"/>
      <c r="I49" s="165"/>
      <c r="J49" s="7"/>
      <c r="K49" s="7"/>
      <c r="L49" s="7"/>
      <c r="M49" s="7"/>
      <c r="N49" s="7"/>
      <c r="O49" s="7"/>
      <c r="P49" s="165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</row>
    <row r="50" spans="1:40">
      <c r="A50" s="178"/>
      <c r="B50" s="178"/>
      <c r="C50" s="178"/>
      <c r="D50" s="178"/>
      <c r="E50" s="178"/>
      <c r="F50" s="178"/>
      <c r="G50" s="178"/>
      <c r="H50" s="178"/>
      <c r="I50" s="165"/>
      <c r="J50" s="7"/>
      <c r="K50" s="7"/>
      <c r="L50" s="7"/>
      <c r="M50" s="7"/>
      <c r="N50" s="7"/>
      <c r="O50" s="7"/>
      <c r="P50" s="165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</row>
    <row r="51" spans="1:40">
      <c r="A51" s="178"/>
      <c r="B51" s="178"/>
      <c r="C51" s="178"/>
      <c r="D51" s="178"/>
      <c r="E51" s="178"/>
      <c r="F51" s="178"/>
      <c r="G51" s="178"/>
      <c r="H51" s="178"/>
      <c r="I51" s="165"/>
      <c r="J51" s="7"/>
      <c r="K51" s="7"/>
      <c r="L51" s="7"/>
      <c r="M51" s="7"/>
      <c r="N51" s="7"/>
      <c r="O51" s="7"/>
      <c r="P51" s="165"/>
      <c r="Q51" s="178"/>
      <c r="R51" s="178"/>
      <c r="S51" s="178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</row>
    <row r="52" spans="1:40">
      <c r="A52" s="178"/>
      <c r="B52" s="178"/>
      <c r="C52" s="178"/>
      <c r="D52" s="178"/>
      <c r="E52" s="178"/>
      <c r="F52" s="178"/>
      <c r="G52" s="178"/>
      <c r="H52" s="178"/>
      <c r="I52" s="165"/>
      <c r="J52" s="7"/>
      <c r="K52" s="7"/>
      <c r="L52" s="7"/>
      <c r="M52" s="7"/>
      <c r="N52" s="7"/>
      <c r="O52" s="7"/>
      <c r="P52" s="165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</row>
    <row r="53" spans="1:40">
      <c r="A53" s="178"/>
      <c r="B53" s="178"/>
      <c r="C53" s="178"/>
      <c r="D53" s="178"/>
      <c r="E53" s="178"/>
      <c r="F53" s="178"/>
      <c r="G53" s="178"/>
      <c r="H53" s="178"/>
      <c r="I53" s="165"/>
      <c r="J53" s="7"/>
      <c r="K53" s="7"/>
      <c r="L53" s="7"/>
      <c r="M53" s="7"/>
      <c r="N53" s="7"/>
      <c r="O53" s="7"/>
      <c r="P53" s="165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</row>
    <row r="54" spans="1:40">
      <c r="A54" s="178"/>
      <c r="B54" s="178"/>
      <c r="C54" s="178"/>
      <c r="D54" s="178"/>
      <c r="E54" s="178"/>
      <c r="F54" s="178"/>
      <c r="G54" s="178"/>
      <c r="H54" s="178"/>
      <c r="I54" s="165"/>
      <c r="J54" s="7"/>
      <c r="K54" s="7"/>
      <c r="L54" s="7"/>
      <c r="M54" s="7"/>
      <c r="N54" s="7"/>
      <c r="O54" s="7"/>
      <c r="P54" s="165"/>
      <c r="Q54" s="178"/>
      <c r="R54" s="178"/>
      <c r="S54" s="178"/>
      <c r="T54" s="178"/>
      <c r="U54" s="178"/>
      <c r="V54" s="178"/>
      <c r="W54" s="178"/>
      <c r="X54" s="178"/>
      <c r="Y54" s="178"/>
      <c r="Z54" s="178"/>
      <c r="AA54" s="178"/>
      <c r="AB54" s="178"/>
      <c r="AC54" s="178"/>
      <c r="AD54" s="178"/>
      <c r="AE54" s="178"/>
      <c r="AF54" s="178"/>
      <c r="AG54" s="178"/>
      <c r="AH54" s="178"/>
      <c r="AI54" s="178"/>
      <c r="AJ54" s="178"/>
      <c r="AK54" s="178"/>
      <c r="AL54" s="178"/>
      <c r="AM54" s="178"/>
      <c r="AN54" s="178"/>
    </row>
    <row r="55" spans="1:40">
      <c r="A55" s="178"/>
      <c r="B55" s="178"/>
      <c r="C55" s="178"/>
      <c r="D55" s="178"/>
      <c r="E55" s="178"/>
      <c r="F55" s="178"/>
      <c r="G55" s="178"/>
      <c r="H55" s="178"/>
      <c r="I55" s="165"/>
      <c r="J55" s="7"/>
      <c r="K55" s="7"/>
      <c r="L55" s="7"/>
      <c r="M55" s="7"/>
      <c r="N55" s="7"/>
      <c r="O55" s="7"/>
      <c r="P55" s="165"/>
      <c r="Q55" s="178"/>
      <c r="R55" s="178"/>
      <c r="S55" s="178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</row>
    <row r="56" spans="1:40">
      <c r="A56" s="178"/>
      <c r="B56" s="178"/>
      <c r="C56" s="178"/>
      <c r="D56" s="178"/>
      <c r="E56" s="178"/>
      <c r="F56" s="178"/>
      <c r="G56" s="178"/>
      <c r="H56" s="178"/>
      <c r="I56" s="165"/>
      <c r="J56" s="7"/>
      <c r="K56" s="7"/>
      <c r="L56" s="7"/>
      <c r="M56" s="7"/>
      <c r="N56" s="7"/>
      <c r="O56" s="7"/>
      <c r="P56" s="165"/>
      <c r="Q56" s="178"/>
      <c r="R56" s="178"/>
      <c r="S56" s="178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</row>
    <row r="57" spans="1:40">
      <c r="A57" s="178"/>
      <c r="B57" s="178"/>
      <c r="C57" s="178"/>
      <c r="D57" s="178"/>
      <c r="E57" s="178"/>
      <c r="F57" s="178"/>
      <c r="G57" s="178"/>
      <c r="H57" s="178"/>
      <c r="I57" s="165"/>
      <c r="J57" s="7"/>
      <c r="K57" s="7"/>
      <c r="L57" s="7"/>
      <c r="M57" s="7"/>
      <c r="N57" s="7"/>
      <c r="O57" s="7"/>
      <c r="P57" s="165"/>
      <c r="Q57" s="178"/>
      <c r="R57" s="178"/>
      <c r="S57" s="178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</row>
    <row r="58" spans="1:40">
      <c r="A58" s="178"/>
      <c r="B58" s="178"/>
      <c r="C58" s="178"/>
      <c r="D58" s="178"/>
      <c r="E58" s="178"/>
      <c r="F58" s="178"/>
      <c r="G58" s="178"/>
      <c r="H58" s="178"/>
      <c r="I58" s="165"/>
      <c r="J58" s="7"/>
      <c r="K58" s="7"/>
      <c r="L58" s="7"/>
      <c r="M58" s="7"/>
      <c r="N58" s="7"/>
      <c r="O58" s="7"/>
      <c r="P58" s="165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</row>
    <row r="59" spans="1:40">
      <c r="A59" s="178"/>
      <c r="B59" s="178"/>
      <c r="C59" s="178"/>
      <c r="D59" s="178"/>
      <c r="E59" s="178"/>
      <c r="F59" s="178"/>
      <c r="G59" s="178"/>
      <c r="H59" s="178"/>
      <c r="I59" s="171"/>
      <c r="J59" s="7"/>
      <c r="K59" s="7"/>
      <c r="L59" s="7"/>
      <c r="M59" s="7"/>
      <c r="N59" s="7"/>
      <c r="O59" s="7"/>
      <c r="P59" s="165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</row>
    <row r="60" spans="1:40">
      <c r="A60" s="178"/>
      <c r="B60" s="178"/>
      <c r="C60" s="178"/>
      <c r="D60" s="178"/>
      <c r="E60" s="178"/>
      <c r="F60" s="178"/>
      <c r="G60" s="178"/>
      <c r="H60" s="178"/>
      <c r="I60" s="165"/>
      <c r="J60" s="7"/>
      <c r="K60" s="7"/>
      <c r="L60" s="7"/>
      <c r="M60" s="7"/>
      <c r="N60" s="7"/>
      <c r="O60" s="7"/>
      <c r="P60" s="165"/>
      <c r="Q60" s="178"/>
      <c r="R60" s="178"/>
      <c r="S60" s="178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</row>
    <row r="61" spans="1:40">
      <c r="A61" s="178"/>
      <c r="B61" s="178"/>
      <c r="C61" s="178"/>
      <c r="D61" s="178"/>
      <c r="E61" s="178"/>
      <c r="F61" s="178"/>
      <c r="G61" s="178"/>
      <c r="H61" s="178"/>
      <c r="I61" s="165"/>
      <c r="J61" s="7"/>
      <c r="K61" s="7"/>
      <c r="L61" s="7"/>
      <c r="M61" s="7"/>
      <c r="N61" s="7"/>
      <c r="O61" s="7"/>
      <c r="P61" s="165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</row>
    <row r="62" spans="1:40">
      <c r="A62" s="178"/>
      <c r="B62" s="178"/>
      <c r="C62" s="178"/>
      <c r="D62" s="178"/>
      <c r="E62" s="178"/>
      <c r="F62" s="178"/>
      <c r="G62" s="178"/>
      <c r="H62" s="178"/>
      <c r="I62" s="165"/>
      <c r="J62" s="7"/>
      <c r="K62" s="7"/>
      <c r="L62" s="7"/>
      <c r="M62" s="7"/>
      <c r="N62" s="7"/>
      <c r="O62" s="7"/>
      <c r="P62" s="165"/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</row>
    <row r="63" spans="1:40">
      <c r="A63" s="178"/>
      <c r="B63" s="178"/>
      <c r="C63" s="178"/>
      <c r="D63" s="178"/>
      <c r="E63" s="178"/>
      <c r="F63" s="178"/>
      <c r="G63" s="178"/>
      <c r="H63" s="178"/>
      <c r="I63" s="165"/>
      <c r="J63" s="7"/>
      <c r="K63" s="7"/>
      <c r="L63" s="7"/>
      <c r="M63" s="7"/>
      <c r="N63" s="7"/>
      <c r="O63" s="7"/>
      <c r="P63" s="165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</row>
    <row r="64" spans="1:40">
      <c r="A64" s="178"/>
      <c r="B64" s="178"/>
      <c r="C64" s="178"/>
      <c r="D64" s="178"/>
      <c r="E64" s="178"/>
      <c r="F64" s="178"/>
      <c r="G64" s="178"/>
      <c r="H64" s="178"/>
      <c r="I64" s="165"/>
      <c r="J64" s="7"/>
      <c r="K64" s="7"/>
      <c r="L64" s="7"/>
      <c r="M64" s="7"/>
      <c r="N64" s="7"/>
      <c r="O64" s="7"/>
      <c r="P64" s="165"/>
      <c r="Q64" s="178"/>
      <c r="R64" s="178"/>
      <c r="S64" s="178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</row>
    <row r="65" spans="1:40">
      <c r="A65" s="165"/>
      <c r="B65" s="165"/>
      <c r="C65" s="165"/>
      <c r="D65" s="165"/>
      <c r="E65" s="165"/>
      <c r="F65" s="165"/>
      <c r="G65" s="165"/>
      <c r="H65" s="165"/>
      <c r="I65" s="165"/>
      <c r="J65" s="7"/>
      <c r="K65" s="7"/>
      <c r="L65" s="7"/>
      <c r="M65" s="7"/>
      <c r="N65" s="7"/>
      <c r="O65" s="7"/>
      <c r="P65" s="165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178"/>
      <c r="AB65" s="178"/>
      <c r="AC65" s="178"/>
      <c r="AD65" s="178"/>
      <c r="AE65" s="178"/>
      <c r="AF65" s="178"/>
      <c r="AG65" s="178"/>
      <c r="AH65" s="178"/>
      <c r="AI65" s="178"/>
      <c r="AJ65" s="178"/>
      <c r="AK65" s="178"/>
      <c r="AL65" s="178"/>
      <c r="AM65" s="178"/>
      <c r="AN65" s="178"/>
    </row>
    <row r="66" spans="1:40">
      <c r="A66" s="178"/>
      <c r="B66" s="178"/>
      <c r="C66" s="178"/>
      <c r="D66" s="178"/>
      <c r="E66" s="178"/>
      <c r="F66" s="178"/>
      <c r="G66" s="178"/>
      <c r="H66" s="178"/>
      <c r="I66" s="178"/>
      <c r="K66" s="7"/>
      <c r="L66" s="7"/>
      <c r="M66" s="7"/>
      <c r="N66" s="7"/>
      <c r="O66" s="7"/>
      <c r="P66" s="165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8"/>
      <c r="AG66" s="178"/>
      <c r="AH66" s="178"/>
      <c r="AI66" s="178"/>
      <c r="AJ66" s="178"/>
      <c r="AK66" s="178"/>
      <c r="AL66" s="178"/>
      <c r="AM66" s="178"/>
      <c r="AN66" s="178"/>
    </row>
    <row r="67" spans="1:40">
      <c r="A67" s="178"/>
      <c r="B67" s="178"/>
      <c r="C67" s="178"/>
      <c r="D67" s="178"/>
      <c r="E67" s="178"/>
      <c r="F67" s="178"/>
      <c r="G67" s="178"/>
      <c r="H67" s="178"/>
      <c r="I67" s="178"/>
      <c r="K67" s="7"/>
      <c r="L67" s="7"/>
      <c r="M67" s="7"/>
      <c r="N67" s="7"/>
      <c r="O67" s="7"/>
      <c r="P67" s="165"/>
      <c r="Q67" s="178"/>
      <c r="R67" s="178"/>
      <c r="S67" s="178"/>
      <c r="T67" s="178"/>
      <c r="U67" s="178"/>
      <c r="V67" s="178"/>
      <c r="W67" s="178"/>
      <c r="X67" s="178"/>
      <c r="Y67" s="178"/>
      <c r="Z67" s="178"/>
      <c r="AA67" s="178"/>
      <c r="AB67" s="178"/>
      <c r="AC67" s="178"/>
      <c r="AD67" s="178"/>
      <c r="AE67" s="178"/>
      <c r="AF67" s="178"/>
      <c r="AG67" s="178"/>
      <c r="AH67" s="178"/>
      <c r="AI67" s="178"/>
      <c r="AJ67" s="178"/>
      <c r="AK67" s="178"/>
      <c r="AL67" s="178"/>
      <c r="AM67" s="178"/>
      <c r="AN67" s="178"/>
    </row>
    <row r="68" spans="1:40" ht="18">
      <c r="A68" s="178"/>
      <c r="B68" s="178"/>
      <c r="C68" s="178"/>
      <c r="D68" s="178"/>
      <c r="E68" s="178"/>
      <c r="F68" s="178"/>
      <c r="G68" s="178"/>
      <c r="H68" s="178"/>
      <c r="I68" s="178"/>
      <c r="K68" s="130"/>
      <c r="L68" s="7"/>
      <c r="M68" s="7"/>
      <c r="N68" s="7"/>
      <c r="O68" s="7"/>
      <c r="P68" s="165"/>
      <c r="Q68" s="178"/>
      <c r="R68" s="178"/>
      <c r="S68" s="178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</row>
    <row r="69" spans="1:40">
      <c r="A69" s="178"/>
      <c r="B69" s="178"/>
      <c r="C69" s="178"/>
      <c r="D69" s="178"/>
      <c r="E69" s="178"/>
      <c r="F69" s="178"/>
      <c r="G69" s="178"/>
      <c r="H69" s="178"/>
      <c r="I69" s="178"/>
      <c r="K69" s="7"/>
      <c r="L69" s="7"/>
      <c r="M69" s="7"/>
      <c r="N69" s="7"/>
      <c r="O69" s="7"/>
      <c r="P69" s="165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</row>
    <row r="70" spans="1:40">
      <c r="A70" s="178"/>
      <c r="B70" s="178"/>
      <c r="C70" s="178"/>
      <c r="D70" s="178"/>
      <c r="E70" s="178"/>
      <c r="F70" s="178"/>
      <c r="G70" s="178"/>
      <c r="H70" s="178"/>
      <c r="I70" s="178"/>
      <c r="K70" s="7"/>
      <c r="L70" s="7"/>
      <c r="M70" s="7"/>
      <c r="N70" s="7"/>
      <c r="O70" s="7"/>
      <c r="P70" s="165"/>
      <c r="Q70" s="178"/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</row>
    <row r="71" spans="1:40">
      <c r="A71" s="178"/>
      <c r="B71" s="178"/>
      <c r="C71" s="178"/>
      <c r="D71" s="178"/>
      <c r="E71" s="178"/>
      <c r="F71" s="178"/>
      <c r="G71" s="178"/>
      <c r="H71" s="178"/>
      <c r="I71" s="178"/>
      <c r="K71" s="7"/>
      <c r="L71" s="7"/>
      <c r="M71" s="7"/>
      <c r="N71" s="7"/>
      <c r="O71" s="7"/>
      <c r="P71" s="165"/>
      <c r="Q71" s="178"/>
      <c r="R71" s="178"/>
      <c r="S71" s="178"/>
      <c r="T71" s="178"/>
      <c r="U71" s="178"/>
      <c r="V71" s="178"/>
      <c r="W71" s="178"/>
      <c r="X71" s="178"/>
      <c r="Y71" s="178"/>
      <c r="Z71" s="178"/>
      <c r="AA71" s="178"/>
      <c r="AB71" s="178"/>
      <c r="AC71" s="178"/>
      <c r="AD71" s="178"/>
      <c r="AE71" s="178"/>
      <c r="AF71" s="178"/>
      <c r="AG71" s="178"/>
      <c r="AH71" s="178"/>
      <c r="AI71" s="178"/>
      <c r="AJ71" s="178"/>
      <c r="AK71" s="178"/>
      <c r="AL71" s="178"/>
      <c r="AM71" s="178"/>
      <c r="AN71" s="178"/>
    </row>
    <row r="72" spans="1:40">
      <c r="A72" s="178"/>
      <c r="B72" s="178"/>
      <c r="C72" s="178"/>
      <c r="D72" s="178"/>
      <c r="E72" s="178"/>
      <c r="F72" s="178"/>
      <c r="G72" s="178"/>
      <c r="H72" s="178"/>
      <c r="I72" s="178"/>
      <c r="K72" s="7"/>
      <c r="L72" s="7"/>
      <c r="M72" s="7"/>
      <c r="N72" s="7"/>
      <c r="O72" s="7"/>
      <c r="P72" s="165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</row>
    <row r="73" spans="1:40">
      <c r="A73" s="178"/>
      <c r="B73" s="178"/>
      <c r="C73" s="178"/>
      <c r="D73" s="178"/>
      <c r="E73" s="178"/>
      <c r="F73" s="178"/>
      <c r="G73" s="178"/>
      <c r="H73" s="178"/>
      <c r="I73" s="178"/>
      <c r="K73" s="7"/>
      <c r="L73" s="7"/>
      <c r="M73" s="7"/>
      <c r="N73" s="7"/>
      <c r="O73" s="7"/>
      <c r="P73" s="165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</row>
    <row r="74" spans="1:40">
      <c r="A74" s="178"/>
      <c r="B74" s="178"/>
      <c r="C74" s="178"/>
      <c r="D74" s="178"/>
      <c r="E74" s="178"/>
      <c r="F74" s="178"/>
      <c r="G74" s="178"/>
      <c r="H74" s="178"/>
      <c r="I74" s="178"/>
      <c r="K74" s="7"/>
      <c r="L74" s="7"/>
      <c r="M74" s="7"/>
      <c r="N74" s="7"/>
      <c r="O74" s="7"/>
      <c r="P74" s="165"/>
      <c r="Q74" s="178"/>
      <c r="R74" s="178"/>
      <c r="S74" s="178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</row>
    <row r="75" spans="1:40">
      <c r="A75" s="178"/>
      <c r="B75" s="178"/>
      <c r="C75" s="178"/>
      <c r="D75" s="178"/>
      <c r="E75" s="178"/>
      <c r="F75" s="178"/>
      <c r="G75" s="178"/>
      <c r="H75" s="178"/>
      <c r="I75" s="178"/>
      <c r="K75" s="7"/>
      <c r="L75" s="7"/>
      <c r="M75" s="7"/>
      <c r="N75" s="7"/>
      <c r="O75" s="7"/>
      <c r="P75" s="165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</row>
    <row r="76" spans="1:40">
      <c r="A76" s="178"/>
      <c r="B76" s="178"/>
      <c r="C76" s="178"/>
      <c r="D76" s="178"/>
      <c r="E76" s="178"/>
      <c r="F76" s="178"/>
      <c r="G76" s="178"/>
      <c r="H76" s="178"/>
      <c r="I76" s="178"/>
      <c r="K76" s="7"/>
      <c r="L76" s="7"/>
      <c r="M76" s="7"/>
      <c r="N76" s="7"/>
      <c r="O76" s="7"/>
      <c r="P76" s="165"/>
      <c r="Q76" s="178"/>
      <c r="R76" s="178"/>
      <c r="S76" s="178"/>
      <c r="T76" s="178"/>
      <c r="U76" s="178"/>
      <c r="V76" s="178"/>
      <c r="W76" s="178"/>
      <c r="X76" s="178"/>
      <c r="Y76" s="178"/>
      <c r="Z76" s="178"/>
      <c r="AA76" s="178"/>
      <c r="AB76" s="178"/>
      <c r="AC76" s="178"/>
      <c r="AD76" s="178"/>
      <c r="AE76" s="178"/>
      <c r="AF76" s="178"/>
      <c r="AG76" s="178"/>
      <c r="AH76" s="178"/>
      <c r="AI76" s="178"/>
      <c r="AJ76" s="178"/>
      <c r="AK76" s="178"/>
      <c r="AL76" s="178"/>
      <c r="AM76" s="178"/>
      <c r="AN76" s="178"/>
    </row>
    <row r="77" spans="1:40">
      <c r="A77" s="178"/>
      <c r="B77" s="178"/>
      <c r="C77" s="178"/>
      <c r="D77" s="178"/>
      <c r="E77" s="178"/>
      <c r="F77" s="178"/>
      <c r="G77" s="178"/>
      <c r="H77" s="178"/>
      <c r="I77" s="178"/>
      <c r="K77" s="7"/>
      <c r="L77" s="7"/>
      <c r="M77" s="7"/>
      <c r="N77" s="7"/>
      <c r="O77" s="7"/>
      <c r="P77" s="165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</row>
    <row r="78" spans="1:40">
      <c r="A78" s="178"/>
      <c r="B78" s="178"/>
      <c r="C78" s="178"/>
      <c r="D78" s="178"/>
      <c r="E78" s="178"/>
      <c r="F78" s="178"/>
      <c r="G78" s="178"/>
      <c r="H78" s="178"/>
      <c r="I78" s="178"/>
      <c r="K78" s="7"/>
      <c r="L78" s="7"/>
      <c r="M78" s="7"/>
      <c r="N78" s="7"/>
      <c r="O78" s="7"/>
      <c r="P78" s="165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</row>
    <row r="79" spans="1:40">
      <c r="A79" s="178"/>
      <c r="B79" s="178"/>
      <c r="C79" s="178"/>
      <c r="D79" s="178"/>
      <c r="E79" s="178"/>
      <c r="F79" s="178"/>
      <c r="G79" s="178"/>
      <c r="H79" s="178"/>
      <c r="I79" s="178"/>
      <c r="K79" s="7"/>
      <c r="L79" s="7"/>
      <c r="M79" s="7"/>
      <c r="N79" s="7"/>
      <c r="O79" s="7"/>
      <c r="P79" s="165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</row>
    <row r="80" spans="1:40">
      <c r="A80" s="178"/>
      <c r="B80" s="178"/>
      <c r="C80" s="178"/>
      <c r="D80" s="178"/>
      <c r="E80" s="178"/>
      <c r="F80" s="178"/>
      <c r="G80" s="178"/>
      <c r="H80" s="178"/>
      <c r="I80" s="178"/>
      <c r="K80" s="7"/>
      <c r="L80" s="7"/>
      <c r="M80" s="7"/>
      <c r="N80" s="7"/>
      <c r="O80" s="7"/>
      <c r="P80" s="165"/>
      <c r="Q80" s="178"/>
      <c r="R80" s="178"/>
      <c r="S80" s="178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</row>
    <row r="81" spans="1:40">
      <c r="A81" s="178"/>
      <c r="B81" s="178"/>
      <c r="C81" s="178"/>
      <c r="D81" s="178"/>
      <c r="E81" s="178"/>
      <c r="F81" s="178"/>
      <c r="G81" s="178"/>
      <c r="H81" s="178"/>
      <c r="I81" s="178"/>
      <c r="K81" s="7"/>
      <c r="L81" s="7"/>
      <c r="M81" s="7"/>
      <c r="N81" s="7"/>
      <c r="O81" s="7"/>
      <c r="P81" s="165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</row>
    <row r="82" spans="1:40">
      <c r="A82" s="178"/>
      <c r="B82" s="178"/>
      <c r="C82" s="178"/>
      <c r="D82" s="178"/>
      <c r="E82" s="178"/>
      <c r="F82" s="178"/>
      <c r="G82" s="178"/>
      <c r="H82" s="178"/>
      <c r="I82" s="178"/>
      <c r="K82" s="7"/>
      <c r="L82" s="7"/>
      <c r="M82" s="7"/>
      <c r="N82" s="7"/>
      <c r="O82" s="7"/>
      <c r="P82" s="165"/>
      <c r="Q82" s="178"/>
      <c r="R82" s="178"/>
      <c r="S82" s="178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</row>
    <row r="83" spans="1:40">
      <c r="A83" s="178"/>
      <c r="B83" s="178"/>
      <c r="C83" s="178"/>
      <c r="D83" s="178"/>
      <c r="E83" s="178"/>
      <c r="F83" s="178"/>
      <c r="G83" s="178"/>
      <c r="H83" s="178"/>
      <c r="I83" s="178"/>
      <c r="K83" s="7"/>
      <c r="L83" s="7"/>
      <c r="M83" s="7"/>
      <c r="N83" s="7"/>
      <c r="O83" s="7"/>
      <c r="P83" s="165"/>
      <c r="Q83" s="178"/>
      <c r="R83" s="178"/>
      <c r="S83" s="178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</row>
    <row r="84" spans="1:40">
      <c r="A84" s="178"/>
      <c r="B84" s="178"/>
      <c r="C84" s="178"/>
      <c r="D84" s="178"/>
      <c r="E84" s="178"/>
      <c r="F84" s="178"/>
      <c r="G84" s="178"/>
      <c r="H84" s="178"/>
      <c r="I84" s="178"/>
      <c r="K84" s="7"/>
      <c r="L84" s="7"/>
      <c r="M84" s="7"/>
      <c r="N84" s="7"/>
      <c r="O84" s="7"/>
      <c r="P84" s="165"/>
      <c r="Q84" s="178"/>
      <c r="R84" s="178"/>
      <c r="S84" s="178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</row>
    <row r="85" spans="1:40">
      <c r="A85" s="178"/>
      <c r="B85" s="178"/>
      <c r="C85" s="178"/>
      <c r="D85" s="178"/>
      <c r="E85" s="178"/>
      <c r="F85" s="178"/>
      <c r="G85" s="178"/>
      <c r="H85" s="178"/>
      <c r="I85" s="178"/>
      <c r="K85" s="7"/>
      <c r="L85" s="7"/>
      <c r="M85" s="7"/>
      <c r="N85" s="7"/>
      <c r="O85" s="7"/>
      <c r="P85" s="165"/>
      <c r="Q85" s="178"/>
      <c r="R85" s="178"/>
      <c r="S85" s="178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</row>
    <row r="86" spans="1:40">
      <c r="A86" s="178"/>
      <c r="B86" s="178"/>
      <c r="C86" s="178"/>
      <c r="D86" s="178"/>
      <c r="E86" s="178"/>
      <c r="F86" s="178"/>
      <c r="G86" s="178"/>
      <c r="H86" s="178"/>
      <c r="I86" s="178"/>
      <c r="K86" s="7"/>
      <c r="L86" s="7"/>
      <c r="M86" s="7"/>
      <c r="N86" s="7"/>
      <c r="O86" s="7"/>
      <c r="P86" s="165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</row>
    <row r="87" spans="1:40">
      <c r="A87" s="178"/>
      <c r="B87" s="178"/>
      <c r="C87" s="178"/>
      <c r="D87" s="178"/>
      <c r="E87" s="178"/>
      <c r="F87" s="178"/>
      <c r="G87" s="178"/>
      <c r="H87" s="178"/>
      <c r="I87" s="178"/>
      <c r="K87" s="7"/>
      <c r="L87" s="7"/>
      <c r="M87" s="7"/>
      <c r="N87" s="7"/>
      <c r="O87" s="7"/>
      <c r="P87" s="165"/>
      <c r="Q87" s="178"/>
      <c r="R87" s="178"/>
      <c r="S87" s="178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</row>
    <row r="88" spans="1:40">
      <c r="A88" s="178"/>
      <c r="B88" s="178"/>
      <c r="C88" s="178"/>
      <c r="D88" s="178"/>
      <c r="E88" s="178"/>
      <c r="F88" s="178"/>
      <c r="G88" s="178"/>
      <c r="H88" s="178"/>
      <c r="I88" s="178"/>
      <c r="K88" s="7"/>
      <c r="L88" s="7"/>
      <c r="M88" s="7"/>
      <c r="N88" s="7"/>
      <c r="O88" s="7"/>
      <c r="P88" s="165"/>
      <c r="Q88" s="178"/>
      <c r="R88" s="178"/>
      <c r="S88" s="178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</row>
    <row r="89" spans="1:40">
      <c r="A89" s="178"/>
      <c r="B89" s="178"/>
      <c r="C89" s="178"/>
      <c r="D89" s="178"/>
      <c r="E89" s="178"/>
      <c r="F89" s="178"/>
      <c r="G89" s="178"/>
      <c r="H89" s="178"/>
      <c r="I89" s="178"/>
      <c r="K89" s="7"/>
      <c r="L89" s="7"/>
      <c r="M89" s="7"/>
      <c r="N89" s="7"/>
      <c r="O89" s="7"/>
      <c r="P89" s="165"/>
      <c r="Q89" s="178"/>
      <c r="R89" s="178"/>
      <c r="S89" s="178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</row>
    <row r="90" spans="1:40">
      <c r="A90" s="178"/>
      <c r="B90" s="178"/>
      <c r="C90" s="178"/>
      <c r="D90" s="178"/>
      <c r="E90" s="178"/>
      <c r="F90" s="178"/>
      <c r="G90" s="178"/>
      <c r="H90" s="178"/>
      <c r="I90" s="178"/>
      <c r="K90" s="7"/>
      <c r="L90" s="7"/>
      <c r="M90" s="7"/>
      <c r="N90" s="7"/>
      <c r="O90" s="7"/>
      <c r="P90" s="165"/>
      <c r="Q90" s="178"/>
      <c r="R90" s="178"/>
      <c r="S90" s="178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</row>
    <row r="91" spans="1:40">
      <c r="A91" s="165"/>
      <c r="B91" s="165"/>
      <c r="C91" s="165"/>
      <c r="D91" s="165"/>
      <c r="E91" s="165"/>
      <c r="F91" s="165"/>
      <c r="G91" s="165"/>
      <c r="H91" s="165"/>
      <c r="I91" s="165"/>
      <c r="J91" s="7"/>
      <c r="K91" s="7"/>
      <c r="L91" s="7"/>
      <c r="M91" s="7"/>
      <c r="N91" s="7"/>
      <c r="O91" s="7"/>
      <c r="P91" s="165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</row>
    <row r="92" spans="1:40">
      <c r="A92" s="165"/>
      <c r="B92" s="165"/>
      <c r="C92" s="165"/>
      <c r="D92" s="165"/>
      <c r="E92" s="165"/>
      <c r="F92" s="165"/>
      <c r="G92" s="165"/>
      <c r="H92" s="165"/>
      <c r="I92" s="165"/>
      <c r="J92" s="7"/>
      <c r="K92" s="7"/>
      <c r="L92" s="7"/>
      <c r="M92" s="7"/>
      <c r="N92" s="7"/>
      <c r="O92" s="7"/>
      <c r="P92" s="165"/>
      <c r="Q92" s="178"/>
      <c r="R92" s="178"/>
      <c r="S92" s="178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</row>
    <row r="93" spans="1:40">
      <c r="A93" s="165"/>
      <c r="B93" s="165"/>
      <c r="C93" s="165"/>
      <c r="D93" s="165"/>
      <c r="E93" s="165"/>
      <c r="F93" s="165"/>
      <c r="G93" s="165"/>
      <c r="H93" s="165"/>
      <c r="I93" s="165"/>
      <c r="J93" s="7"/>
      <c r="K93" s="7"/>
      <c r="L93" s="7"/>
      <c r="M93" s="7"/>
      <c r="N93" s="7"/>
      <c r="O93" s="7"/>
      <c r="P93" s="165"/>
      <c r="Q93" s="178"/>
      <c r="R93" s="178"/>
      <c r="S93" s="178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</row>
    <row r="94" spans="1:40">
      <c r="A94" s="165"/>
      <c r="B94" s="165"/>
      <c r="C94" s="165"/>
      <c r="D94" s="165"/>
      <c r="E94" s="165"/>
      <c r="F94" s="165"/>
      <c r="G94" s="165"/>
      <c r="H94" s="165"/>
      <c r="I94" s="165"/>
      <c r="J94" s="7"/>
      <c r="K94" s="7"/>
      <c r="L94" s="7"/>
      <c r="M94" s="7"/>
      <c r="N94" s="7"/>
      <c r="O94" s="7"/>
      <c r="P94" s="165"/>
      <c r="Q94" s="178"/>
      <c r="R94" s="178"/>
      <c r="S94" s="178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</row>
    <row r="95" spans="1:40">
      <c r="A95" s="165"/>
      <c r="B95" s="165"/>
      <c r="C95" s="165"/>
      <c r="D95" s="165"/>
      <c r="E95" s="165"/>
      <c r="F95" s="165"/>
      <c r="G95" s="165"/>
      <c r="H95" s="165"/>
      <c r="I95" s="165"/>
      <c r="J95" s="7"/>
      <c r="K95" s="7"/>
      <c r="L95" s="7"/>
      <c r="M95" s="7"/>
      <c r="N95" s="7"/>
      <c r="O95" s="7"/>
      <c r="P95" s="165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</row>
    <row r="96" spans="1:40">
      <c r="A96" s="165"/>
      <c r="B96" s="165"/>
      <c r="C96" s="165"/>
      <c r="D96" s="165"/>
      <c r="E96" s="165"/>
      <c r="F96" s="165"/>
      <c r="G96" s="165"/>
      <c r="H96" s="165"/>
      <c r="I96" s="165"/>
      <c r="J96" s="7"/>
      <c r="K96" s="7"/>
      <c r="L96" s="7"/>
      <c r="M96" s="7"/>
      <c r="N96" s="7"/>
      <c r="O96" s="7"/>
      <c r="P96" s="165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</row>
    <row r="97" spans="1:40">
      <c r="A97" s="165"/>
      <c r="B97" s="165"/>
      <c r="C97" s="165"/>
      <c r="D97" s="165"/>
      <c r="E97" s="165"/>
      <c r="F97" s="165"/>
      <c r="G97" s="165"/>
      <c r="H97" s="165"/>
      <c r="I97" s="165"/>
      <c r="J97" s="7"/>
      <c r="K97" s="7"/>
      <c r="L97" s="7"/>
      <c r="M97" s="7"/>
      <c r="N97" s="7"/>
      <c r="O97" s="7"/>
      <c r="P97" s="165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</row>
    <row r="98" spans="1:40">
      <c r="A98" s="165"/>
      <c r="B98" s="165"/>
      <c r="C98" s="165"/>
      <c r="D98" s="165"/>
      <c r="E98" s="165"/>
      <c r="F98" s="165"/>
      <c r="G98" s="165"/>
      <c r="H98" s="165"/>
      <c r="I98" s="165"/>
      <c r="J98" s="7"/>
      <c r="K98" s="7"/>
      <c r="L98" s="7"/>
      <c r="M98" s="7"/>
      <c r="N98" s="7"/>
      <c r="O98" s="7"/>
      <c r="P98" s="165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</row>
    <row r="99" spans="1:40">
      <c r="A99" s="165"/>
      <c r="B99" s="165"/>
      <c r="C99" s="165"/>
      <c r="D99" s="165"/>
      <c r="E99" s="165"/>
      <c r="F99" s="165"/>
      <c r="G99" s="165"/>
      <c r="H99" s="165"/>
      <c r="I99" s="165"/>
      <c r="J99" s="7"/>
      <c r="K99" s="7"/>
      <c r="L99" s="7"/>
      <c r="M99" s="7"/>
      <c r="N99" s="7"/>
      <c r="O99" s="7"/>
      <c r="P99" s="165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</row>
    <row r="100" spans="1:40">
      <c r="A100" s="165"/>
      <c r="B100" s="165"/>
      <c r="C100" s="165"/>
      <c r="D100" s="165"/>
      <c r="E100" s="165"/>
      <c r="F100" s="165"/>
      <c r="G100" s="165"/>
      <c r="H100" s="165"/>
      <c r="I100" s="165"/>
      <c r="J100" s="7"/>
      <c r="K100" s="7"/>
      <c r="L100" s="7"/>
      <c r="M100" s="7"/>
      <c r="N100" s="7"/>
      <c r="O100" s="7"/>
      <c r="P100" s="165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</row>
    <row r="101" spans="1:40">
      <c r="A101" s="165"/>
      <c r="B101" s="165"/>
      <c r="C101" s="165"/>
      <c r="D101" s="165"/>
      <c r="E101" s="165"/>
      <c r="F101" s="165"/>
      <c r="G101" s="165"/>
      <c r="H101" s="165"/>
      <c r="I101" s="165"/>
      <c r="J101" s="7"/>
      <c r="K101" s="7"/>
      <c r="L101" s="7"/>
      <c r="M101" s="7"/>
      <c r="N101" s="7"/>
      <c r="O101" s="7"/>
      <c r="P101" s="165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</row>
    <row r="102" spans="1:40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165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</row>
    <row r="103" spans="1:40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165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</row>
    <row r="104" spans="1:40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165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</row>
    <row r="105" spans="1:40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165"/>
      <c r="Q105" s="178"/>
      <c r="R105" s="178"/>
      <c r="S105" s="178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</row>
    <row r="106" spans="1:40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165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</row>
    <row r="107" spans="1:40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165"/>
      <c r="Q107" s="178"/>
      <c r="R107" s="178"/>
      <c r="S107" s="178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</row>
    <row r="108" spans="1:40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165"/>
      <c r="Q108" s="178"/>
      <c r="R108" s="178"/>
      <c r="S108" s="178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</row>
    <row r="109" spans="1:40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165"/>
      <c r="Q109" s="178"/>
      <c r="R109" s="178"/>
      <c r="S109" s="178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</row>
    <row r="110" spans="1:4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165"/>
      <c r="Q110" s="178"/>
      <c r="R110" s="178"/>
      <c r="S110" s="178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</row>
    <row r="111" spans="1:40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165"/>
      <c r="Q111" s="178"/>
      <c r="R111" s="178"/>
      <c r="S111" s="178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</row>
    <row r="112" spans="1:40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165"/>
      <c r="Q112" s="178"/>
      <c r="R112" s="178"/>
      <c r="S112" s="178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</row>
    <row r="113" spans="1:40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65"/>
      <c r="Q113" s="178"/>
      <c r="R113" s="178"/>
      <c r="S113" s="178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</row>
    <row r="114" spans="1:40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165"/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</row>
    <row r="115" spans="1:40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165"/>
      <c r="Q115" s="178"/>
      <c r="R115" s="178"/>
      <c r="S115" s="178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</row>
    <row r="116" spans="1:40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165"/>
      <c r="Q116" s="178"/>
      <c r="R116" s="178"/>
      <c r="S116" s="178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</row>
    <row r="117" spans="1:40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165"/>
      <c r="Q117" s="178"/>
      <c r="R117" s="178"/>
      <c r="S117" s="178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</row>
    <row r="118" spans="1:40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165"/>
      <c r="Q118" s="178"/>
      <c r="R118" s="178"/>
      <c r="S118" s="178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</row>
    <row r="119" spans="1:40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165"/>
      <c r="Q119" s="178"/>
      <c r="R119" s="178"/>
      <c r="S119" s="178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</row>
    <row r="120" spans="1:4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165"/>
      <c r="Q120" s="178"/>
      <c r="R120" s="178"/>
      <c r="S120" s="178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78"/>
      <c r="AN120" s="178"/>
    </row>
    <row r="121" spans="1:40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165"/>
      <c r="Q121" s="178"/>
      <c r="R121" s="178"/>
      <c r="S121" s="178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78"/>
      <c r="AN121" s="178"/>
    </row>
    <row r="122" spans="1:40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165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</row>
    <row r="123" spans="1:40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165"/>
      <c r="Q123" s="178"/>
      <c r="R123" s="178"/>
      <c r="S123" s="178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  <c r="AL123" s="178"/>
      <c r="AM123" s="178"/>
      <c r="AN123" s="178"/>
    </row>
    <row r="124" spans="1:40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165"/>
      <c r="Q124" s="178"/>
      <c r="R124" s="178"/>
      <c r="S124" s="178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</row>
    <row r="125" spans="1:40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165"/>
      <c r="Q125" s="178"/>
      <c r="R125" s="178"/>
      <c r="S125" s="178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</row>
    <row r="126" spans="1:40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165"/>
      <c r="Q126" s="178"/>
      <c r="R126" s="178"/>
      <c r="S126" s="178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78"/>
      <c r="AN126" s="178"/>
    </row>
    <row r="127" spans="1:40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165"/>
      <c r="Q127" s="178"/>
      <c r="R127" s="178"/>
      <c r="S127" s="178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8"/>
    </row>
    <row r="128" spans="1:40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165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</row>
    <row r="129" spans="1:40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165"/>
      <c r="Q129" s="178"/>
      <c r="R129" s="178"/>
      <c r="S129" s="178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8"/>
      <c r="AL129" s="178"/>
      <c r="AM129" s="178"/>
      <c r="AN129" s="178"/>
    </row>
    <row r="130" spans="1:4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165"/>
      <c r="Q130" s="178"/>
      <c r="R130" s="178"/>
      <c r="S130" s="178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</row>
    <row r="131" spans="1:40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165"/>
      <c r="Q131" s="178"/>
      <c r="R131" s="178"/>
      <c r="S131" s="178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</row>
    <row r="132" spans="1:40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165"/>
      <c r="Q132" s="178"/>
      <c r="R132" s="178"/>
      <c r="S132" s="178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</row>
    <row r="133" spans="1:40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165"/>
      <c r="Q133" s="178"/>
      <c r="R133" s="178"/>
      <c r="S133" s="178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</row>
    <row r="134" spans="1:40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165"/>
      <c r="Q134" s="178"/>
      <c r="R134" s="178"/>
      <c r="S134" s="178"/>
      <c r="T134" s="178"/>
      <c r="U134" s="178"/>
      <c r="V134" s="178"/>
      <c r="W134" s="178"/>
      <c r="X134" s="178"/>
      <c r="Y134" s="178"/>
      <c r="Z134" s="178"/>
      <c r="AA134" s="178"/>
      <c r="AB134" s="178"/>
      <c r="AC134" s="178"/>
      <c r="AD134" s="178"/>
      <c r="AE134" s="178"/>
      <c r="AF134" s="178"/>
      <c r="AG134" s="178"/>
      <c r="AH134" s="178"/>
      <c r="AI134" s="178"/>
      <c r="AJ134" s="178"/>
      <c r="AK134" s="178"/>
      <c r="AL134" s="178"/>
      <c r="AM134" s="178"/>
      <c r="AN134" s="178"/>
    </row>
    <row r="135" spans="1:40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165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</row>
    <row r="136" spans="1:40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165"/>
      <c r="Q136" s="178"/>
      <c r="R136" s="178"/>
      <c r="S136" s="178"/>
      <c r="T136" s="178"/>
      <c r="U136" s="178"/>
      <c r="V136" s="178"/>
      <c r="W136" s="178"/>
      <c r="X136" s="178"/>
      <c r="Y136" s="178"/>
      <c r="Z136" s="178"/>
      <c r="AA136" s="178"/>
      <c r="AB136" s="178"/>
      <c r="AC136" s="178"/>
      <c r="AD136" s="178"/>
      <c r="AE136" s="178"/>
      <c r="AF136" s="178"/>
      <c r="AG136" s="178"/>
      <c r="AH136" s="178"/>
      <c r="AI136" s="178"/>
      <c r="AJ136" s="178"/>
      <c r="AK136" s="178"/>
      <c r="AL136" s="178"/>
      <c r="AM136" s="178"/>
      <c r="AN136" s="178"/>
    </row>
    <row r="137" spans="1:40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165"/>
      <c r="Q137" s="178"/>
      <c r="R137" s="178"/>
      <c r="S137" s="178"/>
      <c r="T137" s="178"/>
      <c r="U137" s="178"/>
      <c r="V137" s="178"/>
      <c r="W137" s="178"/>
      <c r="X137" s="178"/>
      <c r="Y137" s="178"/>
      <c r="Z137" s="178"/>
      <c r="AA137" s="178"/>
      <c r="AB137" s="178"/>
      <c r="AC137" s="178"/>
      <c r="AD137" s="178"/>
      <c r="AE137" s="178"/>
      <c r="AF137" s="178"/>
      <c r="AG137" s="178"/>
      <c r="AH137" s="178"/>
      <c r="AI137" s="178"/>
      <c r="AJ137" s="178"/>
      <c r="AK137" s="178"/>
      <c r="AL137" s="178"/>
      <c r="AM137" s="178"/>
      <c r="AN137" s="178"/>
    </row>
    <row r="138" spans="1:40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165"/>
      <c r="Q138" s="178"/>
      <c r="R138" s="178"/>
      <c r="S138" s="178"/>
      <c r="T138" s="178"/>
      <c r="U138" s="178"/>
      <c r="V138" s="178"/>
      <c r="W138" s="178"/>
      <c r="X138" s="178"/>
      <c r="Y138" s="178"/>
      <c r="Z138" s="178"/>
      <c r="AA138" s="178"/>
      <c r="AB138" s="178"/>
      <c r="AC138" s="178"/>
      <c r="AD138" s="178"/>
      <c r="AE138" s="178"/>
      <c r="AF138" s="178"/>
      <c r="AG138" s="178"/>
      <c r="AH138" s="178"/>
      <c r="AI138" s="178"/>
      <c r="AJ138" s="178"/>
      <c r="AK138" s="178"/>
      <c r="AL138" s="178"/>
      <c r="AM138" s="178"/>
      <c r="AN138" s="178"/>
    </row>
    <row r="139" spans="1:40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165"/>
      <c r="Q139" s="178"/>
      <c r="R139" s="178"/>
      <c r="S139" s="178"/>
      <c r="T139" s="178"/>
      <c r="U139" s="178"/>
      <c r="V139" s="178"/>
      <c r="W139" s="178"/>
      <c r="X139" s="178"/>
      <c r="Y139" s="178"/>
      <c r="Z139" s="178"/>
      <c r="AA139" s="178"/>
      <c r="AB139" s="178"/>
      <c r="AC139" s="178"/>
      <c r="AD139" s="178"/>
      <c r="AE139" s="178"/>
      <c r="AF139" s="178"/>
      <c r="AG139" s="178"/>
      <c r="AH139" s="178"/>
      <c r="AI139" s="178"/>
      <c r="AJ139" s="178"/>
      <c r="AK139" s="178"/>
      <c r="AL139" s="178"/>
      <c r="AM139" s="178"/>
      <c r="AN139" s="178"/>
    </row>
    <row r="140" spans="1: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165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</row>
    <row r="141" spans="1:40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165"/>
      <c r="Q141" s="178"/>
      <c r="R141" s="178"/>
      <c r="S141" s="178"/>
      <c r="T141" s="178"/>
      <c r="U141" s="178"/>
      <c r="V141" s="178"/>
      <c r="W141" s="178"/>
      <c r="X141" s="178"/>
      <c r="Y141" s="178"/>
      <c r="Z141" s="178"/>
      <c r="AA141" s="178"/>
      <c r="AB141" s="178"/>
      <c r="AC141" s="178"/>
      <c r="AD141" s="178"/>
      <c r="AE141" s="178"/>
      <c r="AF141" s="178"/>
      <c r="AG141" s="178"/>
      <c r="AH141" s="178"/>
      <c r="AI141" s="178"/>
      <c r="AJ141" s="178"/>
      <c r="AK141" s="178"/>
      <c r="AL141" s="178"/>
      <c r="AM141" s="178"/>
      <c r="AN141" s="178"/>
    </row>
    <row r="142" spans="1:40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165"/>
      <c r="Q142" s="178"/>
      <c r="R142" s="178"/>
      <c r="S142" s="178"/>
      <c r="T142" s="178"/>
      <c r="U142" s="178"/>
      <c r="V142" s="178"/>
      <c r="W142" s="178"/>
      <c r="X142" s="178"/>
      <c r="Y142" s="178"/>
      <c r="Z142" s="178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78"/>
      <c r="AN142" s="178"/>
    </row>
    <row r="143" spans="1:40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165"/>
      <c r="Q143" s="178"/>
      <c r="R143" s="178"/>
      <c r="S143" s="178"/>
      <c r="T143" s="178"/>
      <c r="U143" s="178"/>
      <c r="V143" s="178"/>
      <c r="W143" s="178"/>
      <c r="X143" s="178"/>
      <c r="Y143" s="178"/>
      <c r="Z143" s="178"/>
      <c r="AA143" s="178"/>
      <c r="AB143" s="178"/>
      <c r="AC143" s="178"/>
      <c r="AD143" s="178"/>
      <c r="AE143" s="178"/>
      <c r="AF143" s="178"/>
      <c r="AG143" s="178"/>
      <c r="AH143" s="178"/>
      <c r="AI143" s="178"/>
      <c r="AJ143" s="178"/>
      <c r="AK143" s="178"/>
      <c r="AL143" s="178"/>
      <c r="AM143" s="178"/>
      <c r="AN143" s="178"/>
    </row>
    <row r="144" spans="1:40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165"/>
      <c r="Q144" s="178"/>
      <c r="R144" s="178"/>
      <c r="S144" s="178"/>
      <c r="T144" s="178"/>
      <c r="U144" s="178"/>
      <c r="V144" s="178"/>
      <c r="W144" s="178"/>
      <c r="X144" s="178"/>
      <c r="Y144" s="178"/>
      <c r="Z144" s="178"/>
      <c r="AA144" s="178"/>
      <c r="AB144" s="178"/>
      <c r="AC144" s="178"/>
      <c r="AD144" s="178"/>
      <c r="AE144" s="178"/>
      <c r="AF144" s="178"/>
      <c r="AG144" s="178"/>
      <c r="AH144" s="178"/>
      <c r="AI144" s="178"/>
      <c r="AJ144" s="178"/>
      <c r="AK144" s="178"/>
      <c r="AL144" s="178"/>
      <c r="AM144" s="178"/>
      <c r="AN144" s="178"/>
    </row>
    <row r="145" spans="1:40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165"/>
      <c r="Q145" s="178"/>
      <c r="R145" s="178"/>
      <c r="S145" s="178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78"/>
      <c r="AF145" s="178"/>
      <c r="AG145" s="178"/>
      <c r="AH145" s="178"/>
      <c r="AI145" s="178"/>
      <c r="AJ145" s="178"/>
      <c r="AK145" s="178"/>
      <c r="AL145" s="178"/>
      <c r="AM145" s="178"/>
      <c r="AN145" s="178"/>
    </row>
    <row r="146" spans="1:40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165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78"/>
      <c r="AF146" s="178"/>
      <c r="AG146" s="178"/>
      <c r="AH146" s="178"/>
      <c r="AI146" s="178"/>
      <c r="AJ146" s="178"/>
      <c r="AK146" s="178"/>
      <c r="AL146" s="178"/>
      <c r="AM146" s="178"/>
      <c r="AN146" s="178"/>
    </row>
    <row r="147" spans="1:40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165"/>
      <c r="Q147" s="178"/>
      <c r="R147" s="178"/>
      <c r="S147" s="178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78"/>
      <c r="AF147" s="178"/>
      <c r="AG147" s="178"/>
      <c r="AH147" s="178"/>
      <c r="AI147" s="178"/>
      <c r="AJ147" s="178"/>
      <c r="AK147" s="178"/>
      <c r="AL147" s="178"/>
      <c r="AM147" s="178"/>
      <c r="AN147" s="178"/>
    </row>
    <row r="148" spans="1:40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165"/>
      <c r="Q148" s="178"/>
      <c r="R148" s="178"/>
      <c r="S148" s="178"/>
      <c r="T148" s="178"/>
      <c r="U148" s="178"/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78"/>
      <c r="AF148" s="178"/>
      <c r="AG148" s="178"/>
      <c r="AH148" s="178"/>
      <c r="AI148" s="178"/>
      <c r="AJ148" s="178"/>
      <c r="AK148" s="178"/>
      <c r="AL148" s="178"/>
      <c r="AM148" s="178"/>
      <c r="AN148" s="178"/>
    </row>
    <row r="149" spans="1:40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165"/>
      <c r="Q149" s="178"/>
      <c r="R149" s="178"/>
      <c r="S149" s="178"/>
      <c r="T149" s="178"/>
      <c r="U149" s="178"/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78"/>
      <c r="AF149" s="178"/>
      <c r="AG149" s="178"/>
      <c r="AH149" s="178"/>
      <c r="AI149" s="178"/>
      <c r="AJ149" s="178"/>
      <c r="AK149" s="178"/>
      <c r="AL149" s="178"/>
      <c r="AM149" s="178"/>
      <c r="AN149" s="178"/>
    </row>
    <row r="150" spans="1:4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165"/>
      <c r="Q150" s="178"/>
      <c r="R150" s="178"/>
      <c r="S150" s="178"/>
      <c r="T150" s="178"/>
      <c r="U150" s="178"/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78"/>
      <c r="AF150" s="178"/>
      <c r="AG150" s="178"/>
      <c r="AH150" s="178"/>
      <c r="AI150" s="178"/>
      <c r="AJ150" s="178"/>
      <c r="AK150" s="178"/>
      <c r="AL150" s="178"/>
      <c r="AM150" s="178"/>
      <c r="AN150" s="178"/>
    </row>
    <row r="151" spans="1:40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165"/>
      <c r="Q151" s="178"/>
      <c r="R151" s="178"/>
      <c r="S151" s="178"/>
      <c r="T151" s="178"/>
      <c r="U151" s="178"/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78"/>
      <c r="AF151" s="178"/>
      <c r="AG151" s="178"/>
      <c r="AH151" s="178"/>
      <c r="AI151" s="178"/>
      <c r="AJ151" s="178"/>
      <c r="AK151" s="178"/>
      <c r="AL151" s="178"/>
      <c r="AM151" s="178"/>
      <c r="AN151" s="178"/>
    </row>
    <row r="152" spans="1:40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165"/>
      <c r="Q152" s="178"/>
      <c r="R152" s="178"/>
      <c r="S152" s="178"/>
      <c r="T152" s="178"/>
      <c r="U152" s="178"/>
      <c r="V152" s="178"/>
      <c r="W152" s="178"/>
      <c r="X152" s="178"/>
      <c r="Y152" s="178"/>
      <c r="Z152" s="178"/>
      <c r="AA152" s="178"/>
      <c r="AB152" s="178"/>
      <c r="AC152" s="178"/>
      <c r="AD152" s="178"/>
      <c r="AE152" s="178"/>
      <c r="AF152" s="178"/>
      <c r="AG152" s="178"/>
      <c r="AH152" s="178"/>
      <c r="AI152" s="178"/>
      <c r="AJ152" s="178"/>
      <c r="AK152" s="178"/>
      <c r="AL152" s="178"/>
      <c r="AM152" s="178"/>
      <c r="AN152" s="178"/>
    </row>
    <row r="153" spans="1:40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165"/>
      <c r="Q153" s="178"/>
      <c r="R153" s="178"/>
      <c r="S153" s="178"/>
      <c r="T153" s="178"/>
      <c r="U153" s="178"/>
      <c r="V153" s="178"/>
      <c r="W153" s="178"/>
      <c r="X153" s="178"/>
      <c r="Y153" s="178"/>
      <c r="Z153" s="178"/>
      <c r="AA153" s="178"/>
      <c r="AB153" s="178"/>
      <c r="AC153" s="178"/>
      <c r="AD153" s="178"/>
      <c r="AE153" s="178"/>
      <c r="AF153" s="178"/>
      <c r="AG153" s="178"/>
      <c r="AH153" s="178"/>
      <c r="AI153" s="178"/>
      <c r="AJ153" s="178"/>
      <c r="AK153" s="178"/>
      <c r="AL153" s="178"/>
      <c r="AM153" s="178"/>
      <c r="AN153" s="178"/>
    </row>
    <row r="154" spans="1:40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165"/>
      <c r="Q154" s="178"/>
      <c r="R154" s="178"/>
      <c r="S154" s="178"/>
      <c r="T154" s="178"/>
      <c r="U154" s="178"/>
      <c r="V154" s="178"/>
      <c r="W154" s="178"/>
      <c r="X154" s="178"/>
      <c r="Y154" s="178"/>
      <c r="Z154" s="178"/>
      <c r="AA154" s="178"/>
      <c r="AB154" s="178"/>
      <c r="AC154" s="178"/>
      <c r="AD154" s="178"/>
      <c r="AE154" s="178"/>
      <c r="AF154" s="178"/>
      <c r="AG154" s="178"/>
      <c r="AH154" s="178"/>
      <c r="AI154" s="178"/>
      <c r="AJ154" s="178"/>
      <c r="AK154" s="178"/>
      <c r="AL154" s="178"/>
      <c r="AM154" s="178"/>
      <c r="AN154" s="178"/>
    </row>
    <row r="155" spans="1:40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pans="1:40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pans="1:40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pans="1:40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pans="1:40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pans="1:4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</row>
    <row r="161" spans="1:16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</row>
    <row r="162" spans="1:16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</row>
  </sheetData>
  <phoneticPr fontId="14" type="noConversion"/>
  <pageMargins left="0.78" right="0.75" top="0.75" bottom="1" header="0" footer="0"/>
  <pageSetup paperSize="9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BG574"/>
  <sheetViews>
    <sheetView zoomScaleNormal="100" workbookViewId="0">
      <pane ySplit="6" topLeftCell="A7" activePane="bottomLeft" state="frozen"/>
      <selection pane="bottomLeft" activeCell="B10" sqref="B10"/>
    </sheetView>
  </sheetViews>
  <sheetFormatPr baseColWidth="10" defaultColWidth="9.140625" defaultRowHeight="12.75"/>
  <cols>
    <col min="1" max="1" width="46.85546875" customWidth="1"/>
    <col min="2" max="2" width="18" hidden="1" customWidth="1"/>
    <col min="3" max="3" width="16.140625" customWidth="1"/>
    <col min="4" max="4" width="55.42578125" customWidth="1"/>
    <col min="7" max="7" width="44.140625" customWidth="1"/>
    <col min="8" max="8" width="11.42578125" customWidth="1"/>
    <col min="9" max="9" width="16.5703125" customWidth="1"/>
    <col min="10" max="10" width="11.28515625" customWidth="1"/>
    <col min="12" max="12" width="56" customWidth="1"/>
  </cols>
  <sheetData>
    <row r="1" spans="1:59">
      <c r="A1" s="6" t="s">
        <v>390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</row>
    <row r="2" spans="1:59">
      <c r="A2" s="6" t="s">
        <v>391</v>
      </c>
      <c r="B2" s="7"/>
      <c r="C2" s="7"/>
      <c r="D2" s="7"/>
      <c r="E2" s="7"/>
      <c r="F2" s="7"/>
      <c r="G2" s="183" t="s">
        <v>360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</row>
    <row r="3" spans="1:59">
      <c r="A3" s="178"/>
      <c r="B3" s="178"/>
      <c r="C3" s="178"/>
      <c r="D3" s="178"/>
      <c r="E3" s="7"/>
      <c r="F3" s="7"/>
      <c r="G3" s="140" t="s">
        <v>350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59">
      <c r="A4" s="13"/>
      <c r="B4" s="13"/>
      <c r="C4" s="133" t="s">
        <v>82</v>
      </c>
      <c r="D4" s="13" t="s">
        <v>2</v>
      </c>
      <c r="E4" s="7" t="s">
        <v>2</v>
      </c>
      <c r="F4" s="7"/>
      <c r="G4" s="178"/>
      <c r="H4" s="165"/>
      <c r="I4" s="165"/>
      <c r="J4" s="16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</row>
    <row r="5" spans="1:59">
      <c r="A5" s="136" t="s">
        <v>361</v>
      </c>
      <c r="B5" s="66" t="s">
        <v>2</v>
      </c>
      <c r="C5" s="134" t="s">
        <v>123</v>
      </c>
      <c r="D5" s="66" t="s">
        <v>2</v>
      </c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59" ht="14.25">
      <c r="A6" s="32"/>
      <c r="B6" s="32" t="s">
        <v>31</v>
      </c>
      <c r="C6" s="154" t="s">
        <v>362</v>
      </c>
      <c r="D6" s="32" t="s">
        <v>12</v>
      </c>
      <c r="E6" s="6"/>
      <c r="F6" s="6"/>
      <c r="G6" s="7"/>
      <c r="H6" s="7"/>
      <c r="I6" s="7"/>
      <c r="J6" s="7"/>
      <c r="K6" s="7"/>
      <c r="L6" s="165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59">
      <c r="A7" s="6" t="s">
        <v>6</v>
      </c>
      <c r="B7" s="7" t="s">
        <v>2</v>
      </c>
      <c r="C7" s="65"/>
      <c r="D7" s="7"/>
      <c r="E7" s="7"/>
      <c r="F7" s="7"/>
      <c r="G7" s="7"/>
      <c r="H7" s="7"/>
      <c r="I7" s="7"/>
      <c r="J7" s="7"/>
      <c r="K7" s="7"/>
      <c r="L7" s="165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59">
      <c r="A8" s="6" t="s">
        <v>30</v>
      </c>
      <c r="B8" s="6" t="s">
        <v>31</v>
      </c>
      <c r="C8" s="65"/>
      <c r="D8" s="6"/>
      <c r="E8" s="7"/>
      <c r="F8" s="7"/>
      <c r="G8" s="184" t="s">
        <v>363</v>
      </c>
      <c r="H8" s="185"/>
      <c r="I8" s="185"/>
      <c r="J8" s="185"/>
      <c r="K8" s="7"/>
      <c r="L8" s="165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</row>
    <row r="9" spans="1:59">
      <c r="A9" s="6"/>
      <c r="B9" s="6"/>
      <c r="C9" s="65"/>
      <c r="D9" s="6"/>
      <c r="E9" s="7"/>
      <c r="F9" s="7"/>
      <c r="G9" s="7" t="str">
        <f>VLOOKUP(Lugar!E84,Lugar!A65:E78,2)</f>
        <v>Santa Rosa</v>
      </c>
      <c r="H9" s="7">
        <f>VLOOKUP(Lugar!E84,Lugar!A65:E78,4)</f>
        <v>15</v>
      </c>
      <c r="I9" s="186" t="s">
        <v>364</v>
      </c>
      <c r="J9" s="165"/>
      <c r="K9" s="178"/>
      <c r="L9" s="165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</row>
    <row r="10" spans="1:59">
      <c r="A10" s="210" t="s">
        <v>411</v>
      </c>
      <c r="B10" s="188">
        <f>0.111+0.063+0.05</f>
        <v>0.22399999999999998</v>
      </c>
      <c r="C10" s="189">
        <f>1/B10</f>
        <v>4.4642857142857144</v>
      </c>
      <c r="D10" s="139" t="s">
        <v>37</v>
      </c>
      <c r="E10" s="7"/>
      <c r="F10" s="7"/>
      <c r="G10" s="187" t="s">
        <v>365</v>
      </c>
      <c r="H10" s="219">
        <f>+H9/3.6</f>
        <v>4.166666666666667</v>
      </c>
      <c r="I10" s="186" t="s">
        <v>366</v>
      </c>
      <c r="J10" s="165"/>
      <c r="K10" s="178"/>
      <c r="L10" s="165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</row>
    <row r="11" spans="1:59">
      <c r="A11" s="139" t="s">
        <v>159</v>
      </c>
      <c r="B11" s="189">
        <f>0.025/0.044+$B$10</f>
        <v>0.79218181818181821</v>
      </c>
      <c r="C11" s="189">
        <f>1/B11</f>
        <v>1.2623364700481983</v>
      </c>
      <c r="D11" s="139"/>
      <c r="E11" s="7"/>
      <c r="F11" s="7"/>
      <c r="G11" s="165"/>
      <c r="H11" s="185"/>
      <c r="I11" s="185"/>
      <c r="J11" s="165"/>
      <c r="K11" s="178"/>
      <c r="L11" s="165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</row>
    <row r="12" spans="1:59">
      <c r="A12" s="139" t="s">
        <v>148</v>
      </c>
      <c r="B12" s="189">
        <f>0.05/0.044+$B$10</f>
        <v>1.3603636363636364</v>
      </c>
      <c r="C12" s="189">
        <f>1/B12</f>
        <v>0.73509756749532207</v>
      </c>
      <c r="D12" s="139"/>
      <c r="E12" s="7"/>
      <c r="F12" s="7"/>
      <c r="G12" s="184" t="s">
        <v>444</v>
      </c>
      <c r="H12" s="185"/>
      <c r="I12" s="185"/>
      <c r="J12" s="165"/>
      <c r="K12" s="178"/>
      <c r="L12" s="184" t="s">
        <v>445</v>
      </c>
      <c r="M12" s="185"/>
      <c r="N12" s="185"/>
      <c r="O12" s="165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>
      <c r="A13" s="139" t="s">
        <v>149</v>
      </c>
      <c r="B13" s="189">
        <f>0.075/0.044+$B$10</f>
        <v>1.9285454545454546</v>
      </c>
      <c r="C13" s="189">
        <f>1/B13</f>
        <v>0.51852550202696335</v>
      </c>
      <c r="D13" s="139"/>
      <c r="E13" s="7"/>
      <c r="F13" s="7"/>
      <c r="G13" s="190" t="s">
        <v>436</v>
      </c>
      <c r="H13" s="191" t="s">
        <v>296</v>
      </c>
      <c r="I13" s="191" t="s">
        <v>340</v>
      </c>
      <c r="J13" s="192" t="s">
        <v>367</v>
      </c>
      <c r="K13" s="178"/>
      <c r="L13" s="190" t="s">
        <v>436</v>
      </c>
      <c r="M13" s="191" t="s">
        <v>296</v>
      </c>
      <c r="N13" s="191" t="s">
        <v>340</v>
      </c>
      <c r="O13" s="192" t="s">
        <v>367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59">
      <c r="A14" s="139" t="s">
        <v>150</v>
      </c>
      <c r="B14" s="189">
        <f>0.1/0.044+$B$10</f>
        <v>2.4967272727272727</v>
      </c>
      <c r="C14" s="189">
        <f>1/B14</f>
        <v>0.40052432274978156</v>
      </c>
      <c r="D14" s="139"/>
      <c r="E14" s="7"/>
      <c r="F14" s="7"/>
      <c r="G14" s="193" t="s">
        <v>437</v>
      </c>
      <c r="H14" s="194" t="s">
        <v>341</v>
      </c>
      <c r="I14" s="194" t="s">
        <v>342</v>
      </c>
      <c r="J14" s="195" t="s">
        <v>123</v>
      </c>
      <c r="K14" s="178"/>
      <c r="L14" s="193" t="s">
        <v>437</v>
      </c>
      <c r="M14" s="194" t="s">
        <v>341</v>
      </c>
      <c r="N14" s="194" t="s">
        <v>342</v>
      </c>
      <c r="O14" s="195" t="s">
        <v>123</v>
      </c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59">
      <c r="A15" s="7"/>
      <c r="B15" s="64"/>
      <c r="C15" s="64"/>
      <c r="D15" s="7"/>
      <c r="E15" s="7"/>
      <c r="F15" s="7"/>
      <c r="G15" s="285" t="s">
        <v>335</v>
      </c>
      <c r="H15" s="197">
        <v>0.16</v>
      </c>
      <c r="I15" s="197">
        <v>0.82</v>
      </c>
      <c r="J15" s="198">
        <f>+H15/I15</f>
        <v>0.1951219512195122</v>
      </c>
      <c r="K15" s="178"/>
      <c r="L15" s="286" t="s">
        <v>446</v>
      </c>
      <c r="M15" s="197">
        <v>0.12</v>
      </c>
      <c r="N15" s="197">
        <v>1.73</v>
      </c>
      <c r="O15" s="198">
        <f>+M15/N15</f>
        <v>6.9364161849710976E-2</v>
      </c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</row>
    <row r="16" spans="1:59">
      <c r="A16" s="210" t="s">
        <v>410</v>
      </c>
      <c r="B16" s="188">
        <f>0.111+0.16+0.05</f>
        <v>0.32100000000000001</v>
      </c>
      <c r="C16" s="189">
        <f>1/B16</f>
        <v>3.1152647975077881</v>
      </c>
      <c r="D16" s="139" t="s">
        <v>40</v>
      </c>
      <c r="E16" s="7"/>
      <c r="F16" s="7"/>
      <c r="G16" s="286" t="s">
        <v>339</v>
      </c>
      <c r="H16" s="197">
        <v>0.05</v>
      </c>
      <c r="I16" s="197">
        <v>4.3999999999999997E-2</v>
      </c>
      <c r="J16" s="198">
        <f t="shared" ref="J16:J21" si="0">+H16/I16</f>
        <v>1.1363636363636365</v>
      </c>
      <c r="K16" s="178"/>
      <c r="L16" s="286" t="s">
        <v>339</v>
      </c>
      <c r="M16" s="197">
        <v>0.05</v>
      </c>
      <c r="N16" s="197">
        <v>4.3999999999999997E-2</v>
      </c>
      <c r="O16" s="198">
        <f t="shared" ref="O16:O21" si="1">+M16/N16</f>
        <v>1.1363636363636365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59">
      <c r="A17" s="139" t="s">
        <v>147</v>
      </c>
      <c r="B17" s="189">
        <f>0.025/0.044+$B$16</f>
        <v>0.8891818181818183</v>
      </c>
      <c r="C17" s="189">
        <f>1/B17</f>
        <v>1.1246293834986196</v>
      </c>
      <c r="D17" s="139"/>
      <c r="E17" s="7"/>
      <c r="F17" s="7"/>
      <c r="G17" s="286" t="s">
        <v>438</v>
      </c>
      <c r="H17" s="197">
        <v>2.5000000000000001E-2</v>
      </c>
      <c r="I17" s="197">
        <v>1.1599999999999999</v>
      </c>
      <c r="J17" s="198">
        <f t="shared" si="0"/>
        <v>2.1551724137931036E-2</v>
      </c>
      <c r="K17" s="178"/>
      <c r="L17" s="287" t="s">
        <v>448</v>
      </c>
      <c r="M17" s="197">
        <v>0.1</v>
      </c>
      <c r="N17" s="197">
        <v>0.19</v>
      </c>
      <c r="O17" s="198">
        <f t="shared" si="1"/>
        <v>0.52631578947368418</v>
      </c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59">
      <c r="A18" s="139" t="s">
        <v>148</v>
      </c>
      <c r="B18" s="189">
        <f>0.05/0.044+B16</f>
        <v>1.4573636363636364</v>
      </c>
      <c r="C18" s="189">
        <f>1/B18</f>
        <v>0.68617054456989579</v>
      </c>
      <c r="D18" s="139"/>
      <c r="E18" s="7"/>
      <c r="F18" s="7"/>
      <c r="G18" s="285" t="s">
        <v>338</v>
      </c>
      <c r="H18" s="197">
        <v>0</v>
      </c>
      <c r="I18" s="197">
        <v>1</v>
      </c>
      <c r="J18" s="198">
        <f t="shared" si="0"/>
        <v>0</v>
      </c>
      <c r="K18" s="178"/>
      <c r="L18" s="286" t="s">
        <v>447</v>
      </c>
      <c r="M18" s="197">
        <v>4.0000000000000001E-3</v>
      </c>
      <c r="N18" s="197">
        <v>0.3</v>
      </c>
      <c r="O18" s="198">
        <f t="shared" si="1"/>
        <v>1.3333333333333334E-2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</row>
    <row r="19" spans="1:59">
      <c r="A19" s="139" t="s">
        <v>149</v>
      </c>
      <c r="B19" s="189">
        <f>0.075/0.044+B16</f>
        <v>2.0255454545454548</v>
      </c>
      <c r="C19" s="189">
        <f>1/B19</f>
        <v>0.49369417889681788</v>
      </c>
      <c r="D19" s="139"/>
      <c r="E19" s="7"/>
      <c r="F19" s="7"/>
      <c r="G19" s="286" t="s">
        <v>441</v>
      </c>
      <c r="H19" s="197">
        <v>0</v>
      </c>
      <c r="I19" s="197">
        <v>1</v>
      </c>
      <c r="J19" s="198">
        <f t="shared" si="0"/>
        <v>0</v>
      </c>
      <c r="K19" s="178"/>
      <c r="L19" s="286" t="s">
        <v>441</v>
      </c>
      <c r="M19" s="197">
        <v>0</v>
      </c>
      <c r="N19" s="197">
        <v>1</v>
      </c>
      <c r="O19" s="198">
        <f t="shared" si="1"/>
        <v>0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</row>
    <row r="20" spans="1:59">
      <c r="A20" s="139" t="s">
        <v>150</v>
      </c>
      <c r="B20" s="189">
        <f>0.1/0.044+$B$16</f>
        <v>2.5937272727272731</v>
      </c>
      <c r="C20" s="189">
        <f>1/B20</f>
        <v>0.38554554694893267</v>
      </c>
      <c r="D20" s="139"/>
      <c r="E20" s="7"/>
      <c r="F20" s="7"/>
      <c r="G20" s="286" t="s">
        <v>442</v>
      </c>
      <c r="H20" s="199">
        <v>0</v>
      </c>
      <c r="I20" s="199">
        <v>1</v>
      </c>
      <c r="J20" s="200">
        <f t="shared" si="0"/>
        <v>0</v>
      </c>
      <c r="K20" s="178"/>
      <c r="L20" s="286" t="s">
        <v>442</v>
      </c>
      <c r="M20" s="199">
        <v>0</v>
      </c>
      <c r="N20" s="199">
        <v>1</v>
      </c>
      <c r="O20" s="200">
        <f t="shared" si="1"/>
        <v>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</row>
    <row r="21" spans="1:59">
      <c r="A21" s="7"/>
      <c r="B21" s="64"/>
      <c r="C21" s="64"/>
      <c r="D21" s="7"/>
      <c r="E21" s="7"/>
      <c r="F21" s="7"/>
      <c r="G21" s="286" t="s">
        <v>443</v>
      </c>
      <c r="H21" s="199">
        <v>0</v>
      </c>
      <c r="I21" s="199">
        <v>1</v>
      </c>
      <c r="J21" s="200">
        <f t="shared" si="0"/>
        <v>0</v>
      </c>
      <c r="K21" s="178"/>
      <c r="L21" s="286" t="s">
        <v>443</v>
      </c>
      <c r="M21" s="199">
        <v>0</v>
      </c>
      <c r="N21" s="199">
        <v>1</v>
      </c>
      <c r="O21" s="200">
        <f t="shared" si="1"/>
        <v>0</v>
      </c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</row>
    <row r="22" spans="1:59">
      <c r="A22" s="210" t="s">
        <v>409</v>
      </c>
      <c r="B22" s="188">
        <f>0.1/1.73+0.111+0.05</f>
        <v>0.21880346820809249</v>
      </c>
      <c r="C22" s="189">
        <f>1/B22</f>
        <v>4.5703114680474464</v>
      </c>
      <c r="D22" s="139"/>
      <c r="E22" s="7"/>
      <c r="F22" s="7"/>
      <c r="G22" s="178"/>
      <c r="H22" s="178"/>
      <c r="I22" s="178"/>
      <c r="J22" s="198">
        <f>SUM(J15:J21)</f>
        <v>1.3530373117210797</v>
      </c>
      <c r="K22" s="178"/>
      <c r="L22" s="178"/>
      <c r="M22" s="178"/>
      <c r="N22" s="178"/>
      <c r="O22" s="198">
        <f>SUM(O15:O21)</f>
        <v>1.7453769210203649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</row>
    <row r="23" spans="1:59">
      <c r="A23" s="139" t="s">
        <v>147</v>
      </c>
      <c r="B23" s="189">
        <f>0.025/0.044+$B$22</f>
        <v>0.78698528638991072</v>
      </c>
      <c r="C23" s="189">
        <f>1/B23</f>
        <v>1.2706717867461521</v>
      </c>
      <c r="D23" s="139"/>
      <c r="E23" s="7"/>
      <c r="F23" s="7"/>
      <c r="G23" s="201" t="s">
        <v>330</v>
      </c>
      <c r="H23" s="185"/>
      <c r="I23" s="185"/>
      <c r="J23" s="165"/>
      <c r="K23" s="178"/>
      <c r="L23" s="201" t="s">
        <v>330</v>
      </c>
      <c r="M23" s="185"/>
      <c r="N23" s="185"/>
      <c r="O23" s="165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</row>
    <row r="24" spans="1:59">
      <c r="A24" s="139" t="s">
        <v>148</v>
      </c>
      <c r="B24" s="189">
        <f>0.05/0.044+$B$22</f>
        <v>1.3551671045717288</v>
      </c>
      <c r="C24" s="189">
        <f>1/B24</f>
        <v>0.73791637697406198</v>
      </c>
      <c r="D24" s="139"/>
      <c r="E24" s="7"/>
      <c r="F24" s="7"/>
      <c r="G24" s="284" t="s">
        <v>439</v>
      </c>
      <c r="H24" s="196">
        <v>5.7</v>
      </c>
      <c r="I24" s="202" t="s">
        <v>331</v>
      </c>
      <c r="J24" s="203"/>
      <c r="K24" s="178"/>
      <c r="L24" s="284" t="s">
        <v>439</v>
      </c>
      <c r="M24" s="196">
        <v>5.7</v>
      </c>
      <c r="N24" s="202" t="s">
        <v>331</v>
      </c>
      <c r="O24" s="203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</row>
    <row r="25" spans="1:59">
      <c r="A25" s="139" t="s">
        <v>149</v>
      </c>
      <c r="B25" s="189">
        <f>0.075/0.044+$B$22</f>
        <v>1.9233489227535472</v>
      </c>
      <c r="C25" s="189">
        <f>1/B25</f>
        <v>0.51992646168868728</v>
      </c>
      <c r="D25" s="139"/>
      <c r="E25" s="7"/>
      <c r="F25" s="7"/>
      <c r="G25" s="284" t="s">
        <v>440</v>
      </c>
      <c r="H25" s="196">
        <f>5.7+3.6*H10</f>
        <v>20.700000000000003</v>
      </c>
      <c r="I25" s="196" t="s">
        <v>332</v>
      </c>
      <c r="J25" s="203"/>
      <c r="K25" s="178"/>
      <c r="L25" s="284" t="s">
        <v>440</v>
      </c>
      <c r="M25" s="196">
        <f>5.7+3.6*M10</f>
        <v>5.7</v>
      </c>
      <c r="N25" s="196" t="s">
        <v>332</v>
      </c>
      <c r="O25" s="203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</row>
    <row r="26" spans="1:59">
      <c r="A26" s="139" t="s">
        <v>150</v>
      </c>
      <c r="B26" s="189">
        <f>0.1/0.044+$B$22</f>
        <v>2.4915307409353655</v>
      </c>
      <c r="C26" s="189">
        <f>1/B26</f>
        <v>0.40135968766918845</v>
      </c>
      <c r="D26" s="139"/>
      <c r="E26" s="7"/>
      <c r="F26" s="7"/>
      <c r="G26" s="185"/>
      <c r="H26" s="178"/>
      <c r="I26" s="178"/>
      <c r="J26" s="165"/>
      <c r="K26" s="165"/>
      <c r="L26" s="185"/>
      <c r="M26" s="178"/>
      <c r="N26" s="178"/>
      <c r="O26" s="165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</row>
    <row r="27" spans="1:59" ht="13.5" thickBot="1">
      <c r="A27" s="7"/>
      <c r="B27" s="64"/>
      <c r="C27" s="64"/>
      <c r="D27" s="7"/>
      <c r="E27" s="7"/>
      <c r="F27" s="7"/>
      <c r="G27" s="185" t="s">
        <v>333</v>
      </c>
      <c r="H27" s="204">
        <f>1/H24+1/H25+J22</f>
        <v>1.576785086956269</v>
      </c>
      <c r="I27" s="185" t="s">
        <v>334</v>
      </c>
      <c r="J27" s="165"/>
      <c r="K27" s="165"/>
      <c r="L27" s="185" t="s">
        <v>333</v>
      </c>
      <c r="M27" s="204">
        <f>1/M24+1/M25+O22</f>
        <v>2.096254114002821</v>
      </c>
      <c r="N27" s="185" t="s">
        <v>334</v>
      </c>
      <c r="O27" s="165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</row>
    <row r="28" spans="1:59" ht="13.5" thickBot="1">
      <c r="A28" s="139" t="s">
        <v>154</v>
      </c>
      <c r="B28" s="188">
        <f>0.12/0.73+0.111+0.05</f>
        <v>0.32538356164383558</v>
      </c>
      <c r="C28" s="189">
        <f>1/B28</f>
        <v>3.073296004715194</v>
      </c>
      <c r="D28" s="139"/>
      <c r="E28" s="7" t="s">
        <v>2</v>
      </c>
      <c r="F28" s="7"/>
      <c r="G28" s="205" t="s">
        <v>368</v>
      </c>
      <c r="H28" s="206">
        <f>1/H27</f>
        <v>0.6342018378232761</v>
      </c>
      <c r="I28" s="207" t="s">
        <v>314</v>
      </c>
      <c r="J28" s="165"/>
      <c r="K28" s="165"/>
      <c r="L28" s="205" t="s">
        <v>368</v>
      </c>
      <c r="M28" s="206">
        <f>1/M27</f>
        <v>0.47704140128817141</v>
      </c>
      <c r="N28" s="207" t="s">
        <v>314</v>
      </c>
      <c r="O28" s="165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</row>
    <row r="29" spans="1:59">
      <c r="A29" s="139" t="s">
        <v>147</v>
      </c>
      <c r="B29" s="189">
        <f>0.025/0.044+$B$28</f>
        <v>0.89356537982565376</v>
      </c>
      <c r="C29" s="189">
        <f>1/B29</f>
        <v>1.1191122916994758</v>
      </c>
      <c r="D29" s="139"/>
      <c r="E29" s="7"/>
      <c r="F29" s="7"/>
      <c r="G29" s="165"/>
      <c r="H29" s="165"/>
      <c r="I29" s="165"/>
      <c r="J29" s="165"/>
      <c r="K29" s="16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</row>
    <row r="30" spans="1:59">
      <c r="A30" s="139" t="s">
        <v>148</v>
      </c>
      <c r="B30" s="189">
        <f>0.05/0.044+$B$28</f>
        <v>1.4617471980074721</v>
      </c>
      <c r="C30" s="189">
        <f>1/B30</f>
        <v>0.68411282153515596</v>
      </c>
      <c r="D30" s="139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</row>
    <row r="31" spans="1:59">
      <c r="A31" s="139" t="s">
        <v>149</v>
      </c>
      <c r="B31" s="189">
        <f>0.075/0.044+$B$28</f>
        <v>2.02992901618929</v>
      </c>
      <c r="C31" s="189">
        <f>1/B31</f>
        <v>0.49262806335822651</v>
      </c>
      <c r="D31" s="139" t="s">
        <v>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</row>
    <row r="32" spans="1:59">
      <c r="A32" s="139" t="s">
        <v>150</v>
      </c>
      <c r="B32" s="189">
        <f>0.1/0.044+$B$28</f>
        <v>2.5981108343711083</v>
      </c>
      <c r="C32" s="189">
        <f>1/B32</f>
        <v>0.38489505019213599</v>
      </c>
      <c r="D32" s="139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</row>
    <row r="33" spans="1:59">
      <c r="A33" s="7"/>
      <c r="B33" s="64"/>
      <c r="C33" s="77" t="s">
        <v>82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</row>
    <row r="34" spans="1:59">
      <c r="A34" s="6" t="s">
        <v>157</v>
      </c>
      <c r="B34" s="77" t="s">
        <v>158</v>
      </c>
      <c r="C34" s="77" t="s">
        <v>407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</row>
    <row r="35" spans="1:59" ht="14.25">
      <c r="A35" s="7"/>
      <c r="B35" s="64"/>
      <c r="C35" s="154" t="s">
        <v>362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</row>
    <row r="36" spans="1:59">
      <c r="A36" s="139" t="s">
        <v>153</v>
      </c>
      <c r="B36" s="188">
        <f>0.04/1.16+0.18/0.82+0.05+0.111</f>
        <v>0.41499495374264084</v>
      </c>
      <c r="C36" s="189">
        <f>1/B36</f>
        <v>2.4096678549497499</v>
      </c>
      <c r="D36" s="139" t="s">
        <v>63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</row>
    <row r="37" spans="1:59">
      <c r="A37" s="139" t="s">
        <v>147</v>
      </c>
      <c r="B37" s="189">
        <f>0.025/0.044+$B$36</f>
        <v>0.98317677192445907</v>
      </c>
      <c r="C37" s="189">
        <f>1/B37</f>
        <v>1.017111091876806</v>
      </c>
      <c r="D37" s="139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</row>
    <row r="38" spans="1:59">
      <c r="A38" s="139" t="s">
        <v>148</v>
      </c>
      <c r="B38" s="189">
        <f>0.05/0.044+$B$36</f>
        <v>1.5513585901062772</v>
      </c>
      <c r="C38" s="189">
        <f>1/B38</f>
        <v>0.64459629538744756</v>
      </c>
      <c r="D38" s="139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</row>
    <row r="39" spans="1:59">
      <c r="A39" s="139" t="s">
        <v>149</v>
      </c>
      <c r="B39" s="189">
        <f>0.075/0.044+$B$36</f>
        <v>2.1195404082880955</v>
      </c>
      <c r="C39" s="189">
        <f>1/B39</f>
        <v>0.47180039412774261</v>
      </c>
      <c r="D39" s="139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</row>
    <row r="40" spans="1:59">
      <c r="A40" s="139" t="s">
        <v>150</v>
      </c>
      <c r="B40" s="189">
        <f>0.1/0.044+$B$36</f>
        <v>2.6877222264699139</v>
      </c>
      <c r="C40" s="189">
        <f>1/B40</f>
        <v>0.37206225782989927</v>
      </c>
      <c r="D40" s="139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</row>
    <row r="41" spans="1:59">
      <c r="A41" s="7"/>
      <c r="B41" s="64"/>
      <c r="C41" s="64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</row>
    <row r="42" spans="1:59">
      <c r="A42" s="139" t="s">
        <v>151</v>
      </c>
      <c r="B42" s="188">
        <f>0.04/1.16+0.12/0.82+0.05+0.111</f>
        <v>0.34182422203532381</v>
      </c>
      <c r="C42" s="189">
        <f>1/B42</f>
        <v>2.9254802191772731</v>
      </c>
      <c r="D42" s="139" t="s">
        <v>63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</row>
    <row r="43" spans="1:59">
      <c r="A43" s="139" t="s">
        <v>147</v>
      </c>
      <c r="B43" s="189">
        <f>0.025/0.044+$B$42</f>
        <v>0.91000604021714204</v>
      </c>
      <c r="C43" s="189">
        <f>1/B43</f>
        <v>1.0988938048822006</v>
      </c>
      <c r="D43" s="139" t="s">
        <v>369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</row>
    <row r="44" spans="1:59">
      <c r="A44" s="139" t="s">
        <v>148</v>
      </c>
      <c r="B44" s="189">
        <f>0.05/0.044+$B$42</f>
        <v>1.4781878583989603</v>
      </c>
      <c r="C44" s="189">
        <f>1/B44</f>
        <v>0.67650400070469374</v>
      </c>
      <c r="D44" s="139" t="s">
        <v>370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</row>
    <row r="45" spans="1:59">
      <c r="A45" s="139" t="s">
        <v>149</v>
      </c>
      <c r="B45" s="189">
        <f>0.075/0.044+$B$42</f>
        <v>2.0463696765807784</v>
      </c>
      <c r="C45" s="189">
        <f>1/B45</f>
        <v>0.48867025906622691</v>
      </c>
      <c r="D45" s="139" t="s">
        <v>370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</row>
    <row r="46" spans="1:59">
      <c r="A46" s="139" t="s">
        <v>150</v>
      </c>
      <c r="B46" s="189">
        <f>0.1/0.044+$B$42</f>
        <v>2.6145514947625967</v>
      </c>
      <c r="C46" s="189">
        <f>1/B46</f>
        <v>0.38247477703276245</v>
      </c>
      <c r="D46" s="139" t="s">
        <v>370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</row>
    <row r="47" spans="1:59">
      <c r="A47" s="7"/>
      <c r="B47" s="64"/>
      <c r="C47" s="64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</row>
    <row r="48" spans="1:59">
      <c r="A48" s="139" t="s">
        <v>152</v>
      </c>
      <c r="B48" s="188">
        <f>0.04/1.16+2*0.12/0.82+0.05+0.111</f>
        <v>0.48816568544995792</v>
      </c>
      <c r="C48" s="189">
        <f>1/B48</f>
        <v>2.0484848276016532</v>
      </c>
      <c r="D48" s="139" t="s">
        <v>64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</row>
    <row r="49" spans="1:59">
      <c r="A49" s="139" t="s">
        <v>147</v>
      </c>
      <c r="B49" s="189">
        <f>0.025/0.044+$B$48</f>
        <v>1.0563475036317762</v>
      </c>
      <c r="C49" s="189">
        <f>1/B49</f>
        <v>0.94665817504367589</v>
      </c>
      <c r="D49" s="283" t="s">
        <v>371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</row>
    <row r="50" spans="1:59">
      <c r="A50" s="139" t="s">
        <v>148</v>
      </c>
      <c r="B50" s="189">
        <f>0.05/0.044+$B$48</f>
        <v>1.6245293218135943</v>
      </c>
      <c r="C50" s="189">
        <f>1/B50</f>
        <v>0.61556291202156854</v>
      </c>
      <c r="D50" s="139" t="s">
        <v>370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</row>
    <row r="51" spans="1:59">
      <c r="A51" s="139" t="s">
        <v>149</v>
      </c>
      <c r="B51" s="189">
        <f>0.075/0.044+$B$48</f>
        <v>2.1927111399954127</v>
      </c>
      <c r="C51" s="189">
        <f>1/B51</f>
        <v>0.45605642337462293</v>
      </c>
      <c r="D51" s="139" t="s">
        <v>370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</row>
    <row r="52" spans="1:59">
      <c r="A52" s="139" t="s">
        <v>150</v>
      </c>
      <c r="B52" s="189">
        <f>0.1/0.044+$B$48</f>
        <v>2.760892958177231</v>
      </c>
      <c r="C52" s="189">
        <f>1/B52</f>
        <v>0.36220165546012689</v>
      </c>
      <c r="D52" s="139" t="s">
        <v>370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</row>
    <row r="53" spans="1:59">
      <c r="A53" s="7"/>
      <c r="B53" s="64"/>
      <c r="C53" s="6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</row>
    <row r="54" spans="1:59">
      <c r="A54" s="139" t="s">
        <v>152</v>
      </c>
      <c r="B54" s="188">
        <f>0.04/1.16+2*0.12/0.82+0.05+0.111+0.16</f>
        <v>0.6481656854499579</v>
      </c>
      <c r="C54" s="189">
        <f>1/B54</f>
        <v>1.5428153980502655</v>
      </c>
      <c r="D54" s="139" t="s">
        <v>65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</row>
    <row r="55" spans="1:59">
      <c r="A55" s="139" t="s">
        <v>147</v>
      </c>
      <c r="B55" s="189">
        <f>0.025/0.044+$B$54</f>
        <v>1.2163475036317761</v>
      </c>
      <c r="C55" s="189">
        <f>1/B55</f>
        <v>0.82213347502600631</v>
      </c>
      <c r="D55" s="283" t="s">
        <v>371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</row>
    <row r="56" spans="1:59">
      <c r="A56" s="139" t="s">
        <v>148</v>
      </c>
      <c r="B56" s="189">
        <f>0.05/0.044+$B$54</f>
        <v>1.7845293218135945</v>
      </c>
      <c r="C56" s="189">
        <f>1/B56</f>
        <v>0.56037185143235013</v>
      </c>
      <c r="D56" s="139" t="s">
        <v>370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</row>
    <row r="57" spans="1:59">
      <c r="A57" s="139" t="s">
        <v>149</v>
      </c>
      <c r="B57" s="189">
        <f>0.075/0.044+$B$54</f>
        <v>2.3527111399954124</v>
      </c>
      <c r="C57" s="189">
        <f>1/B57</f>
        <v>0.42504155440091551</v>
      </c>
      <c r="D57" s="139" t="s">
        <v>370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</row>
    <row r="58" spans="1:59">
      <c r="A58" s="139" t="s">
        <v>150</v>
      </c>
      <c r="B58" s="189">
        <f>0.1/0.044+$B$54</f>
        <v>2.9208929581772307</v>
      </c>
      <c r="C58" s="189">
        <f>1/B58</f>
        <v>0.34236105681327167</v>
      </c>
      <c r="D58" s="139" t="s">
        <v>370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</row>
    <row r="59" spans="1:59">
      <c r="A59" s="7"/>
      <c r="B59" s="64"/>
      <c r="C59" s="64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</row>
    <row r="60" spans="1:59">
      <c r="A60" s="139" t="s">
        <v>155</v>
      </c>
      <c r="B60" s="188">
        <f>0.02/1.16+0.17/0.82+0.05+0.111</f>
        <v>0.38555845248107656</v>
      </c>
      <c r="C60" s="189">
        <f>1/B60</f>
        <v>2.593640454683277</v>
      </c>
      <c r="D60" s="139" t="s">
        <v>66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</row>
    <row r="61" spans="1:59">
      <c r="A61" s="139" t="s">
        <v>147</v>
      </c>
      <c r="B61" s="189">
        <f>0.025/0.044+$B$60</f>
        <v>0.9537402706628948</v>
      </c>
      <c r="C61" s="189">
        <f>1/B61</f>
        <v>1.0485034875427379</v>
      </c>
      <c r="D61" s="139" t="s">
        <v>372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</row>
    <row r="62" spans="1:59">
      <c r="A62" s="139" t="s">
        <v>148</v>
      </c>
      <c r="B62" s="189">
        <f>0.05/0.044+$B$60</f>
        <v>1.5219220888447129</v>
      </c>
      <c r="C62" s="189">
        <f>1/B62</f>
        <v>0.65706385847852267</v>
      </c>
      <c r="D62" s="139" t="s">
        <v>370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</row>
    <row r="63" spans="1:59">
      <c r="A63" s="139" t="s">
        <v>149</v>
      </c>
      <c r="B63" s="189">
        <f>0.075/0.044+$B$60</f>
        <v>2.0901039070265313</v>
      </c>
      <c r="C63" s="189">
        <f>1/B63</f>
        <v>0.47844511301002329</v>
      </c>
      <c r="D63" s="139" t="s">
        <v>370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</row>
    <row r="64" spans="1:59">
      <c r="A64" s="139" t="s">
        <v>150</v>
      </c>
      <c r="B64" s="189">
        <f>0.1/0.044+$B$60</f>
        <v>2.6582857252083496</v>
      </c>
      <c r="C64" s="189">
        <f>1/B64</f>
        <v>0.37618228564260997</v>
      </c>
      <c r="D64" s="139" t="s">
        <v>370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</row>
    <row r="65" spans="1:59">
      <c r="A65" s="7"/>
      <c r="B65" s="64"/>
      <c r="C65" s="64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</row>
    <row r="66" spans="1:59">
      <c r="A66" s="139" t="s">
        <v>156</v>
      </c>
      <c r="B66" s="188">
        <f>0.04/1.16+0.12/0.82+0.05+0.111</f>
        <v>0.34182422203532381</v>
      </c>
      <c r="C66" s="189">
        <f>1/B66</f>
        <v>2.9254802191772731</v>
      </c>
      <c r="D66" s="139" t="s">
        <v>67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</row>
    <row r="67" spans="1:59">
      <c r="A67" s="139" t="s">
        <v>147</v>
      </c>
      <c r="B67" s="189">
        <f>0.025/0.044+$B$66</f>
        <v>0.91000604021714204</v>
      </c>
      <c r="C67" s="189">
        <f>1/B67</f>
        <v>1.0988938048822006</v>
      </c>
      <c r="D67" s="139" t="s">
        <v>373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</row>
    <row r="68" spans="1:59">
      <c r="A68" s="139" t="s">
        <v>148</v>
      </c>
      <c r="B68" s="189">
        <f>0.05/0.044+$B$66</f>
        <v>1.4781878583989603</v>
      </c>
      <c r="C68" s="189">
        <f>1/B68</f>
        <v>0.67650400070469374</v>
      </c>
      <c r="D68" s="139" t="s">
        <v>370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</row>
    <row r="69" spans="1:59">
      <c r="A69" s="139" t="s">
        <v>149</v>
      </c>
      <c r="B69" s="189">
        <f>0.075/0.044+$B$66</f>
        <v>2.0463696765807784</v>
      </c>
      <c r="C69" s="189">
        <f>1/B69</f>
        <v>0.48867025906622691</v>
      </c>
      <c r="D69" s="139" t="s">
        <v>370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</row>
    <row r="70" spans="1:59">
      <c r="A70" s="139" t="s">
        <v>150</v>
      </c>
      <c r="B70" s="189">
        <f>0.1/0.044+$B$66</f>
        <v>2.6145514947625967</v>
      </c>
      <c r="C70" s="189">
        <f>1/B70</f>
        <v>0.38247477703276245</v>
      </c>
      <c r="D70" s="139" t="s">
        <v>370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</row>
    <row r="71" spans="1:59">
      <c r="A71" s="7"/>
      <c r="B71" s="64"/>
      <c r="C71" s="64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</row>
    <row r="72" spans="1:59">
      <c r="A72" s="139" t="s">
        <v>374</v>
      </c>
      <c r="B72" s="188">
        <f>0.02/1.16+0.12/0.82+0.05+0.111+0.169</f>
        <v>0.49358284272497899</v>
      </c>
      <c r="C72" s="189">
        <f>1/B72</f>
        <v>2.0260023514577332</v>
      </c>
      <c r="D72" s="139" t="s">
        <v>375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</row>
    <row r="73" spans="1:59">
      <c r="A73" s="139" t="s">
        <v>147</v>
      </c>
      <c r="B73" s="189">
        <f>0.025/0.044+$B$72</f>
        <v>1.0617646609067972</v>
      </c>
      <c r="C73" s="189">
        <f>1/B73</f>
        <v>0.94182829474278484</v>
      </c>
      <c r="D73" s="139" t="s">
        <v>376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</row>
    <row r="74" spans="1:59">
      <c r="A74" s="139" t="s">
        <v>148</v>
      </c>
      <c r="B74" s="189">
        <f>0.05/0.044+$B$72</f>
        <v>1.6299464790886153</v>
      </c>
      <c r="C74" s="189">
        <f>1/B74</f>
        <v>0.61351707729639693</v>
      </c>
      <c r="D74" s="139" t="s">
        <v>370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</row>
    <row r="75" spans="1:59">
      <c r="A75" s="139" t="s">
        <v>149</v>
      </c>
      <c r="B75" s="189">
        <f>0.075/0.044+$B$72</f>
        <v>2.1981282972704337</v>
      </c>
      <c r="C75" s="189">
        <f>1/B75</f>
        <v>0.45493249927302626</v>
      </c>
      <c r="D75" s="139" t="s">
        <v>370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</row>
    <row r="76" spans="1:59">
      <c r="A76" s="139" t="s">
        <v>150</v>
      </c>
      <c r="B76" s="189">
        <f>0.1/0.044+$B$72</f>
        <v>2.766310115452252</v>
      </c>
      <c r="C76" s="189">
        <f>1/B76</f>
        <v>0.36149237007598273</v>
      </c>
      <c r="D76" s="139" t="s">
        <v>370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</row>
    <row r="77" spans="1:59">
      <c r="A77" s="7"/>
      <c r="B77" s="37"/>
      <c r="C77" s="64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</row>
    <row r="78" spans="1:59">
      <c r="A78" s="8" t="s">
        <v>416</v>
      </c>
      <c r="B78" s="256"/>
      <c r="C78" s="25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</row>
    <row r="79" spans="1:59">
      <c r="A79" s="11"/>
      <c r="B79" s="35"/>
      <c r="C79" s="258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</row>
    <row r="80" spans="1:59">
      <c r="A80" s="16" t="s">
        <v>408</v>
      </c>
      <c r="B80" s="17"/>
      <c r="C80" s="19"/>
      <c r="D80" s="7"/>
      <c r="E80" s="44"/>
      <c r="F80" s="44"/>
      <c r="G80" s="44"/>
      <c r="H80" s="44"/>
      <c r="I80" s="44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</row>
    <row r="81" spans="1:59">
      <c r="A81" s="11" t="s">
        <v>129</v>
      </c>
      <c r="B81" s="17"/>
      <c r="C81" s="19"/>
      <c r="D81" s="7"/>
      <c r="E81" s="44"/>
      <c r="F81" s="44"/>
      <c r="G81" s="44"/>
      <c r="H81" s="44"/>
      <c r="I81" s="44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</row>
    <row r="82" spans="1:59">
      <c r="A82" s="14"/>
      <c r="B82" s="25"/>
      <c r="C82" s="15"/>
      <c r="D82" s="165"/>
      <c r="E82" s="17"/>
      <c r="F82" s="17"/>
      <c r="G82" s="17"/>
      <c r="H82" s="17"/>
      <c r="I82" s="1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</row>
    <row r="83" spans="1:59">
      <c r="A83" s="56" t="s">
        <v>130</v>
      </c>
      <c r="B83" s="208" t="s">
        <v>131</v>
      </c>
      <c r="C83" s="133" t="s">
        <v>412</v>
      </c>
      <c r="D83" s="44"/>
      <c r="E83" s="17"/>
      <c r="F83" s="17"/>
      <c r="G83" s="17"/>
      <c r="H83" s="17"/>
      <c r="I83" s="1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</row>
    <row r="84" spans="1:59">
      <c r="A84" s="32"/>
      <c r="B84" s="209" t="s">
        <v>132</v>
      </c>
      <c r="C84" s="261" t="s">
        <v>420</v>
      </c>
      <c r="D84" s="44"/>
      <c r="E84" s="17"/>
      <c r="F84" s="17"/>
      <c r="G84" s="17"/>
      <c r="H84" s="17"/>
      <c r="I84" s="1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</row>
    <row r="85" spans="1:59">
      <c r="A85" s="210" t="s">
        <v>377</v>
      </c>
      <c r="B85" s="139">
        <v>20</v>
      </c>
      <c r="C85" s="139">
        <v>5</v>
      </c>
      <c r="D85" s="17"/>
      <c r="E85" s="17"/>
      <c r="F85" s="17"/>
      <c r="G85" s="17"/>
      <c r="H85" s="17"/>
      <c r="I85" s="1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</row>
    <row r="86" spans="1:59">
      <c r="A86" s="210" t="s">
        <v>378</v>
      </c>
      <c r="B86" s="139">
        <v>20</v>
      </c>
      <c r="C86" s="139">
        <v>4</v>
      </c>
      <c r="D86" s="17"/>
      <c r="E86" s="17"/>
      <c r="F86" s="17"/>
      <c r="G86" s="17"/>
      <c r="H86" s="17"/>
      <c r="I86" s="1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</row>
    <row r="87" spans="1:59">
      <c r="A87" s="210" t="s">
        <v>379</v>
      </c>
      <c r="B87" s="139">
        <v>20</v>
      </c>
      <c r="C87" s="139">
        <v>3.7</v>
      </c>
      <c r="D87" s="17"/>
      <c r="E87" s="17"/>
      <c r="F87" s="17"/>
      <c r="G87" s="17"/>
      <c r="H87" s="17"/>
      <c r="I87" s="1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</row>
    <row r="88" spans="1:59">
      <c r="A88" s="210" t="s">
        <v>380</v>
      </c>
      <c r="B88" s="139">
        <v>20</v>
      </c>
      <c r="C88" s="139">
        <v>3.1</v>
      </c>
      <c r="D88" s="17"/>
      <c r="E88" s="17"/>
      <c r="F88" s="17"/>
      <c r="G88" s="17"/>
      <c r="H88" s="17"/>
      <c r="I88" s="1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</row>
    <row r="89" spans="1:59">
      <c r="A89" s="255"/>
      <c r="B89" s="17"/>
      <c r="C89" s="17"/>
      <c r="D89" s="17"/>
      <c r="E89" s="17"/>
      <c r="F89" s="17"/>
      <c r="G89" s="17"/>
      <c r="H89" s="17"/>
      <c r="I89" s="1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</row>
    <row r="90" spans="1:59">
      <c r="A90" s="210" t="s">
        <v>133</v>
      </c>
      <c r="B90" s="139">
        <v>20</v>
      </c>
      <c r="C90" s="139">
        <v>6.4</v>
      </c>
      <c r="D90" s="1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</row>
    <row r="91" spans="1:59">
      <c r="A91" s="210" t="s">
        <v>381</v>
      </c>
      <c r="B91" s="139">
        <v>20</v>
      </c>
      <c r="C91" s="139">
        <v>4.8</v>
      </c>
      <c r="D91" s="1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</row>
    <row r="92" spans="1:59">
      <c r="A92" s="210" t="s">
        <v>382</v>
      </c>
      <c r="B92" s="188">
        <v>20</v>
      </c>
      <c r="C92" s="189">
        <v>4.4000000000000004</v>
      </c>
      <c r="D92" s="1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</row>
    <row r="93" spans="1:59">
      <c r="A93" s="210" t="s">
        <v>383</v>
      </c>
      <c r="B93" s="188"/>
      <c r="C93" s="189">
        <v>3.6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</row>
    <row r="94" spans="1:59">
      <c r="A94" s="249"/>
      <c r="B94" s="37"/>
      <c r="C94" s="64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</row>
    <row r="95" spans="1:59">
      <c r="A95" s="210" t="s">
        <v>134</v>
      </c>
      <c r="B95" s="188">
        <v>20</v>
      </c>
      <c r="C95" s="189">
        <v>6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</row>
    <row r="96" spans="1:59">
      <c r="A96" s="210" t="s">
        <v>384</v>
      </c>
      <c r="B96" s="188">
        <v>20</v>
      </c>
      <c r="C96" s="189">
        <v>4.5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</row>
    <row r="97" spans="1:59">
      <c r="A97" s="210" t="s">
        <v>385</v>
      </c>
      <c r="B97" s="188">
        <v>20</v>
      </c>
      <c r="C97" s="189">
        <v>4.0999999999999996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</row>
    <row r="98" spans="1:59">
      <c r="A98" s="210" t="s">
        <v>386</v>
      </c>
      <c r="B98" s="188">
        <v>20</v>
      </c>
      <c r="C98" s="189">
        <v>3.4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</row>
    <row r="99" spans="1:59">
      <c r="A99" s="7"/>
      <c r="B99" s="37"/>
      <c r="C99" s="64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</row>
    <row r="100" spans="1:59">
      <c r="A100" s="56" t="s">
        <v>130</v>
      </c>
      <c r="B100" s="208" t="s">
        <v>131</v>
      </c>
      <c r="C100" s="133" t="s">
        <v>413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</row>
    <row r="101" spans="1:59">
      <c r="A101" s="136"/>
      <c r="B101" s="259"/>
      <c r="C101" s="134" t="s">
        <v>414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</row>
    <row r="102" spans="1:59">
      <c r="A102" s="32"/>
      <c r="B102" s="260" t="s">
        <v>132</v>
      </c>
      <c r="C102" s="261" t="s">
        <v>421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</row>
    <row r="103" spans="1:59">
      <c r="A103" s="210" t="s">
        <v>377</v>
      </c>
      <c r="B103" s="139">
        <v>20</v>
      </c>
      <c r="C103" s="60">
        <v>2.9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</row>
    <row r="104" spans="1:59">
      <c r="A104" s="210" t="s">
        <v>378</v>
      </c>
      <c r="B104" s="139">
        <v>20</v>
      </c>
      <c r="C104" s="139">
        <v>2.5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</row>
    <row r="105" spans="1:59">
      <c r="A105" s="210" t="s">
        <v>379</v>
      </c>
      <c r="B105" s="139">
        <v>20</v>
      </c>
      <c r="C105" s="139">
        <v>2.4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</row>
    <row r="106" spans="1:59">
      <c r="A106" s="254"/>
      <c r="B106" s="13"/>
      <c r="C106" s="9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</row>
    <row r="107" spans="1:59">
      <c r="A107" s="210" t="s">
        <v>133</v>
      </c>
      <c r="B107" s="139">
        <v>20</v>
      </c>
      <c r="C107" s="139">
        <v>4.3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</row>
    <row r="108" spans="1:59">
      <c r="A108" s="210" t="s">
        <v>381</v>
      </c>
      <c r="B108" s="139">
        <v>20</v>
      </c>
      <c r="C108" s="139">
        <v>3.6</v>
      </c>
      <c r="D108" s="7"/>
      <c r="E108" s="7"/>
      <c r="F108" s="140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</row>
    <row r="109" spans="1:59">
      <c r="A109" s="210" t="s">
        <v>382</v>
      </c>
      <c r="B109" s="188">
        <v>20</v>
      </c>
      <c r="C109" s="189">
        <v>3.3</v>
      </c>
      <c r="D109" s="7"/>
      <c r="E109" s="140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</row>
    <row r="110" spans="1:59">
      <c r="A110" s="249"/>
      <c r="C110" s="178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</row>
    <row r="111" spans="1:59">
      <c r="A111" s="210" t="s">
        <v>134</v>
      </c>
      <c r="B111" s="188">
        <v>20</v>
      </c>
      <c r="C111" s="189">
        <v>3.4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</row>
    <row r="112" spans="1:59">
      <c r="A112" s="210" t="s">
        <v>384</v>
      </c>
      <c r="B112" s="188">
        <v>20</v>
      </c>
      <c r="C112" s="189">
        <v>3.1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</row>
    <row r="113" spans="1:59">
      <c r="A113" s="210" t="s">
        <v>385</v>
      </c>
      <c r="B113" s="188">
        <v>20</v>
      </c>
      <c r="C113" s="189">
        <v>2.9</v>
      </c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</row>
    <row r="114" spans="1:59">
      <c r="A114" s="16"/>
      <c r="B114" s="37"/>
      <c r="C114" s="64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</row>
    <row r="115" spans="1:59">
      <c r="A115" s="56" t="s">
        <v>415</v>
      </c>
      <c r="B115" s="13"/>
      <c r="C115" s="13"/>
      <c r="D115" s="13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</row>
    <row r="116" spans="1:59">
      <c r="A116" s="210" t="s">
        <v>417</v>
      </c>
      <c r="B116" s="210" t="s">
        <v>2</v>
      </c>
      <c r="C116" s="252">
        <v>2.64</v>
      </c>
      <c r="D116" s="210" t="s">
        <v>2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</row>
    <row r="117" spans="1:59">
      <c r="A117" s="210" t="s">
        <v>418</v>
      </c>
      <c r="B117" s="139"/>
      <c r="C117" s="139">
        <v>4.05</v>
      </c>
      <c r="D117" s="139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</row>
    <row r="118" spans="1:59">
      <c r="A118" s="210" t="s">
        <v>419</v>
      </c>
      <c r="B118" s="188"/>
      <c r="C118" s="139">
        <v>2.2200000000000002</v>
      </c>
      <c r="D118" s="139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</row>
    <row r="119" spans="1:59">
      <c r="A119" s="7"/>
      <c r="B119" s="37"/>
      <c r="C119" s="64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</row>
    <row r="120" spans="1:59">
      <c r="A120" s="56" t="s">
        <v>13</v>
      </c>
      <c r="B120" s="13"/>
      <c r="C120" s="13"/>
      <c r="D120" s="13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</row>
    <row r="121" spans="1:59">
      <c r="A121" s="210" t="s">
        <v>68</v>
      </c>
      <c r="B121" s="210" t="s">
        <v>2</v>
      </c>
      <c r="C121" s="253">
        <v>0.72</v>
      </c>
      <c r="D121" s="210" t="s">
        <v>422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59">
      <c r="A122" s="210" t="s">
        <v>387</v>
      </c>
      <c r="B122" s="139"/>
      <c r="C122" s="253">
        <f>1/(1/C121+0.05/0.19)</f>
        <v>0.60530973451327441</v>
      </c>
      <c r="D122" s="139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59">
      <c r="A123" s="210" t="s">
        <v>388</v>
      </c>
      <c r="B123" s="188"/>
      <c r="C123" s="253">
        <f>1/(1/C121+0.1/0.19)</f>
        <v>0.52213740458015268</v>
      </c>
      <c r="D123" s="139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59">
      <c r="A124" s="210" t="s">
        <v>435</v>
      </c>
      <c r="B124" s="188"/>
      <c r="C124" s="253">
        <f>1/(1/C121+0.025/0.019)</f>
        <v>0.36972972972972973</v>
      </c>
      <c r="D124" s="139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59">
      <c r="A125" s="7"/>
      <c r="B125" s="37"/>
      <c r="C125" s="64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59">
      <c r="A126" s="7"/>
      <c r="B126" s="37"/>
      <c r="C126" s="64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59">
      <c r="A127" s="7"/>
      <c r="B127" s="37"/>
      <c r="C127" s="64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59">
      <c r="A128" s="7"/>
      <c r="B128" s="37"/>
      <c r="C128" s="64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1:59">
      <c r="A129" s="7"/>
      <c r="B129" s="37"/>
      <c r="C129" s="64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1:59">
      <c r="A130" s="7"/>
      <c r="B130" s="37"/>
      <c r="C130" s="64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1:59">
      <c r="A131" s="7"/>
      <c r="B131" s="37"/>
      <c r="C131" s="64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1:59">
      <c r="A132" s="7"/>
      <c r="B132" s="37"/>
      <c r="C132" s="64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1:59">
      <c r="A133" s="7"/>
      <c r="B133" s="37"/>
      <c r="C133" s="64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1:59">
      <c r="A134" s="7"/>
      <c r="B134" s="37"/>
      <c r="C134" s="64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1:59">
      <c r="A135" s="7"/>
      <c r="B135" s="37"/>
      <c r="C135" s="64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1:59">
      <c r="A136" s="7"/>
      <c r="B136" s="37"/>
      <c r="C136" s="64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1:59">
      <c r="A137" s="7"/>
      <c r="B137" s="37"/>
      <c r="C137" s="64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1:59">
      <c r="A138" s="7"/>
      <c r="B138" s="37"/>
      <c r="C138" s="64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1:59">
      <c r="A139" s="7"/>
      <c r="B139" s="37"/>
      <c r="C139" s="64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1:59">
      <c r="A140" s="7"/>
      <c r="B140" s="37"/>
      <c r="C140" s="64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1:59">
      <c r="A141" s="7"/>
      <c r="B141" s="37"/>
      <c r="C141" s="64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1:59">
      <c r="A142" s="7"/>
      <c r="B142" s="37"/>
      <c r="C142" s="64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1:59">
      <c r="A143" s="7"/>
      <c r="B143" s="37"/>
      <c r="C143" s="64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1:59">
      <c r="A144" s="7"/>
      <c r="B144" s="37"/>
      <c r="C144" s="64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1:59">
      <c r="A145" s="7"/>
      <c r="B145" s="37"/>
      <c r="C145" s="64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1:59">
      <c r="A146" s="7"/>
      <c r="B146" s="37"/>
      <c r="C146" s="64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1:59">
      <c r="A147" s="7"/>
      <c r="B147" s="37"/>
      <c r="C147" s="64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1:59">
      <c r="A148" s="7"/>
      <c r="B148" s="37"/>
      <c r="C148" s="64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1:59">
      <c r="A149" s="7"/>
      <c r="B149" s="37"/>
      <c r="C149" s="64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1:59">
      <c r="A150" s="7"/>
      <c r="B150" s="37"/>
      <c r="C150" s="64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1:59">
      <c r="A151" s="7"/>
      <c r="B151" s="37"/>
      <c r="C151" s="64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1:59">
      <c r="A152" s="7"/>
      <c r="B152" s="37"/>
      <c r="C152" s="64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1:59">
      <c r="A153" s="7"/>
      <c r="B153" s="37"/>
      <c r="C153" s="64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1:59">
      <c r="A154" s="7"/>
      <c r="B154" s="37"/>
      <c r="C154" s="64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1:59">
      <c r="A155" s="7"/>
      <c r="B155" s="37"/>
      <c r="C155" s="64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1:59">
      <c r="A156" s="7"/>
      <c r="B156" s="37"/>
      <c r="C156" s="64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1:59">
      <c r="A157" s="7"/>
      <c r="B157" s="37"/>
      <c r="C157" s="64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1:59">
      <c r="A158" s="7"/>
      <c r="B158" s="37"/>
      <c r="C158" s="64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1:59">
      <c r="A159" s="7"/>
      <c r="B159" s="37"/>
      <c r="C159" s="64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1:59">
      <c r="A160" s="7"/>
      <c r="B160" s="37"/>
      <c r="C160" s="64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1:59">
      <c r="A161" s="7"/>
      <c r="B161" s="37"/>
      <c r="C161" s="64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1:59">
      <c r="A162" s="7"/>
      <c r="B162" s="37"/>
      <c r="C162" s="64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1:59">
      <c r="A163" s="7"/>
      <c r="B163" s="37"/>
      <c r="C163" s="64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1:59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1:59">
      <c r="A165" s="6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1:59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1:59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1:59">
      <c r="A168" s="44"/>
      <c r="B168" s="44"/>
      <c r="C168" s="44"/>
      <c r="D168" s="44"/>
      <c r="E168" s="44"/>
      <c r="F168" s="44"/>
      <c r="G168" s="44"/>
      <c r="H168" s="44"/>
      <c r="I168" s="44"/>
      <c r="J168" s="17"/>
      <c r="K168" s="17"/>
      <c r="L168" s="1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1:59">
      <c r="A169" s="44"/>
      <c r="B169" s="44"/>
      <c r="C169" s="44"/>
      <c r="D169" s="44"/>
      <c r="E169" s="44"/>
      <c r="F169" s="44"/>
      <c r="G169" s="44"/>
      <c r="H169" s="44"/>
      <c r="I169" s="44"/>
      <c r="J169" s="17"/>
      <c r="K169" s="17"/>
      <c r="L169" s="1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1:59">
      <c r="A170" s="44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1:59">
      <c r="A171" s="44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1:59">
      <c r="A172" s="44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1:59">
      <c r="A173" s="44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1:59">
      <c r="A174" s="44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1:59">
      <c r="A175" s="44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1:59">
      <c r="A176" s="44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1:59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1:59">
      <c r="A178" s="17"/>
      <c r="B178" s="17"/>
      <c r="C178" s="211"/>
      <c r="D178" s="17" t="s">
        <v>2</v>
      </c>
      <c r="E178" s="17"/>
      <c r="F178" s="17"/>
      <c r="G178" s="17"/>
      <c r="H178" s="17"/>
      <c r="I178" s="17"/>
      <c r="J178" s="17"/>
      <c r="K178" s="17"/>
      <c r="L178" s="1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1:59">
      <c r="A179" s="17"/>
      <c r="B179" s="17" t="s">
        <v>2</v>
      </c>
      <c r="C179" s="211"/>
      <c r="D179" s="17" t="s">
        <v>2</v>
      </c>
      <c r="E179" s="17"/>
      <c r="F179" s="17"/>
      <c r="G179" s="17"/>
      <c r="H179" s="17"/>
      <c r="I179" s="17"/>
      <c r="J179" s="17"/>
      <c r="K179" s="17"/>
      <c r="L179" s="1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1:59">
      <c r="A180" s="212"/>
      <c r="B180" s="178"/>
      <c r="C180" s="178"/>
      <c r="D180" s="178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1:59">
      <c r="A181" s="171"/>
      <c r="B181" s="178"/>
      <c r="C181" s="213"/>
      <c r="D181" s="213"/>
      <c r="E181" s="1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1:59">
      <c r="A182" s="44"/>
      <c r="B182" s="178"/>
      <c r="C182" s="17"/>
      <c r="D182" s="17"/>
      <c r="E182" s="1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1:59">
      <c r="A183" s="76"/>
      <c r="B183" s="178"/>
      <c r="C183" s="17"/>
      <c r="D183" s="17"/>
      <c r="E183" s="1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1:59">
      <c r="A184" s="17"/>
      <c r="B184" s="178"/>
      <c r="C184" s="17"/>
      <c r="D184" s="17"/>
      <c r="E184" s="1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1:59">
      <c r="A185" s="17"/>
      <c r="B185" s="178"/>
      <c r="C185" s="17"/>
      <c r="D185" s="17"/>
      <c r="E185" s="1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1:59">
      <c r="A186" s="44"/>
      <c r="B186" s="178"/>
      <c r="C186" s="17"/>
      <c r="D186" s="17"/>
      <c r="E186" s="1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1:59">
      <c r="A187" s="17"/>
      <c r="B187" s="178"/>
      <c r="C187" s="35"/>
      <c r="D187" s="17"/>
      <c r="E187" s="1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1:59">
      <c r="A188" s="17"/>
      <c r="B188" s="178"/>
      <c r="C188" s="17"/>
      <c r="D188" s="17"/>
      <c r="E188" s="1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1:59">
      <c r="A189" s="44" t="s">
        <v>389</v>
      </c>
      <c r="B189" s="178"/>
      <c r="C189" s="17"/>
      <c r="D189" s="17"/>
      <c r="E189" s="1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1:59" ht="13.5" thickBot="1">
      <c r="A190" s="17"/>
      <c r="B190" s="178"/>
      <c r="C190" s="17"/>
      <c r="D190" s="17"/>
      <c r="E190" s="1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1:59">
      <c r="A191" s="68" t="s">
        <v>32</v>
      </c>
      <c r="B191" s="214"/>
      <c r="C191" s="215" t="s">
        <v>31</v>
      </c>
      <c r="D191" s="216" t="s">
        <v>12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1:59" ht="13.5" thickBot="1">
      <c r="A192" s="31"/>
      <c r="B192" s="217"/>
      <c r="C192" s="47"/>
      <c r="D192" s="218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1:59">
      <c r="A193" s="16" t="s">
        <v>44</v>
      </c>
      <c r="B193" s="178"/>
      <c r="C193" s="136" t="s">
        <v>45</v>
      </c>
      <c r="D193" s="66"/>
      <c r="E193" s="7" t="s">
        <v>2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1:59">
      <c r="A194" s="11" t="s">
        <v>33</v>
      </c>
      <c r="B194" s="178"/>
      <c r="C194" s="135">
        <f>0.3/0.44</f>
        <v>0.68181818181818177</v>
      </c>
      <c r="D194" s="66" t="s">
        <v>38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1:59">
      <c r="A195" s="11" t="s">
        <v>34</v>
      </c>
      <c r="B195" s="178"/>
      <c r="C195" s="135">
        <f>0.05/0.044</f>
        <v>1.1363636363636365</v>
      </c>
      <c r="D195" s="66" t="s">
        <v>39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1:59">
      <c r="A196" s="11" t="s">
        <v>35</v>
      </c>
      <c r="B196" s="178"/>
      <c r="C196" s="135">
        <f>0.075/0.044</f>
        <v>1.7045454545454546</v>
      </c>
      <c r="D196" s="66" t="s">
        <v>2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1:59">
      <c r="A197" s="11" t="s">
        <v>36</v>
      </c>
      <c r="B197" s="178"/>
      <c r="C197" s="135">
        <f>0.1/0.044</f>
        <v>2.2727272727272729</v>
      </c>
      <c r="D197" s="66" t="s">
        <v>2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1:59">
      <c r="A198" s="16" t="s">
        <v>46</v>
      </c>
      <c r="B198" s="178"/>
      <c r="C198" s="66"/>
      <c r="D198" s="66" t="s">
        <v>2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1:59">
      <c r="A199" s="11" t="s">
        <v>41</v>
      </c>
      <c r="B199" s="178"/>
      <c r="C199" s="135">
        <f>0.01/0.025</f>
        <v>0.39999999999999997</v>
      </c>
      <c r="D199" s="66" t="s">
        <v>42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1:59">
      <c r="A200" s="11" t="s">
        <v>33</v>
      </c>
      <c r="B200" s="178"/>
      <c r="C200" s="135">
        <f>0.025/0.025</f>
        <v>1</v>
      </c>
      <c r="D200" s="66" t="s">
        <v>42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1:59">
      <c r="A201" s="11" t="s">
        <v>34</v>
      </c>
      <c r="B201" s="178"/>
      <c r="C201" s="135">
        <f>0.05/0.025</f>
        <v>2</v>
      </c>
      <c r="D201" s="66" t="s">
        <v>42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1:59">
      <c r="A202" s="11" t="s">
        <v>35</v>
      </c>
      <c r="B202" s="178"/>
      <c r="C202" s="135">
        <f>0.075/0.025</f>
        <v>2.9999999999999996</v>
      </c>
      <c r="D202" s="66" t="s">
        <v>42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1:59">
      <c r="A203" s="11" t="s">
        <v>36</v>
      </c>
      <c r="B203" s="178"/>
      <c r="C203" s="135">
        <f>0.1/0.025</f>
        <v>4</v>
      </c>
      <c r="D203" s="66" t="s">
        <v>42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1:59">
      <c r="A204" s="11" t="s">
        <v>41</v>
      </c>
      <c r="B204" s="178"/>
      <c r="C204" s="135">
        <f>0.01/0.019</f>
        <v>0.52631578947368418</v>
      </c>
      <c r="D204" s="66" t="s">
        <v>43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1:59">
      <c r="A205" s="11" t="s">
        <v>33</v>
      </c>
      <c r="B205" s="178"/>
      <c r="C205" s="135">
        <f>0.025/0.019</f>
        <v>1.3157894736842106</v>
      </c>
      <c r="D205" s="66" t="str">
        <f>+D204</f>
        <v>Tipo rígido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1:59">
      <c r="A206" s="11" t="s">
        <v>34</v>
      </c>
      <c r="B206" s="178"/>
      <c r="C206" s="135">
        <f>0.05/0.019</f>
        <v>2.6315789473684212</v>
      </c>
      <c r="D206" s="66" t="s">
        <v>43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1:59">
      <c r="A207" s="11" t="s">
        <v>35</v>
      </c>
      <c r="B207" s="178"/>
      <c r="C207" s="135">
        <f>0.075/0.019</f>
        <v>3.9473684210526314</v>
      </c>
      <c r="D207" s="66" t="s">
        <v>43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1:59">
      <c r="A208" s="11" t="s">
        <v>36</v>
      </c>
      <c r="B208" s="178"/>
      <c r="C208" s="135">
        <f>0.1/0.019</f>
        <v>5.2631578947368425</v>
      </c>
      <c r="D208" s="66" t="s">
        <v>43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1:59">
      <c r="A209" s="16" t="s">
        <v>47</v>
      </c>
      <c r="B209" s="178"/>
      <c r="C209" s="66"/>
      <c r="D209" s="66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1:59">
      <c r="A210" s="11" t="s">
        <v>48</v>
      </c>
      <c r="B210" s="178"/>
      <c r="C210" s="135">
        <f>0.05/0.056</f>
        <v>0.8928571428571429</v>
      </c>
      <c r="D210" s="66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1:59">
      <c r="A211" s="11" t="s">
        <v>50</v>
      </c>
      <c r="B211" s="178"/>
      <c r="C211" s="135">
        <f>0.003/0.056</f>
        <v>5.3571428571428568E-2</v>
      </c>
      <c r="D211" s="66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1:59">
      <c r="A212" s="11" t="s">
        <v>51</v>
      </c>
      <c r="B212" s="178"/>
      <c r="C212" s="135">
        <f>0.005/0.056</f>
        <v>8.9285714285714288E-2</v>
      </c>
      <c r="D212" s="66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1:59">
      <c r="A213" s="16" t="s">
        <v>49</v>
      </c>
      <c r="B213" s="178"/>
      <c r="C213" s="135"/>
      <c r="D213" s="66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1:59">
      <c r="A214" s="11" t="s">
        <v>34</v>
      </c>
      <c r="B214" s="178"/>
      <c r="C214" s="135">
        <f>0.05/0.16</f>
        <v>0.3125</v>
      </c>
      <c r="D214" s="66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1:59">
      <c r="A215" s="11" t="s">
        <v>36</v>
      </c>
      <c r="B215" s="178"/>
      <c r="C215" s="135">
        <f>0.1/0.16</f>
        <v>0.625</v>
      </c>
      <c r="D215" s="66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1:59">
      <c r="A216" s="11" t="s">
        <v>52</v>
      </c>
      <c r="B216" s="178"/>
      <c r="C216" s="135">
        <f>0.15/0.16</f>
        <v>0.9375</v>
      </c>
      <c r="D216" s="66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1:59">
      <c r="A217" s="16" t="s">
        <v>53</v>
      </c>
      <c r="B217" s="178"/>
      <c r="C217" s="135"/>
      <c r="D217" s="66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1:59">
      <c r="A218" s="11" t="s">
        <v>54</v>
      </c>
      <c r="B218" s="178"/>
      <c r="C218" s="135">
        <f>0.012/0.2</f>
        <v>0.06</v>
      </c>
      <c r="D218" s="66" t="s">
        <v>58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1:59">
      <c r="A219" s="11" t="s">
        <v>55</v>
      </c>
      <c r="B219" s="178"/>
      <c r="C219" s="135">
        <f>0.019/0.2</f>
        <v>9.4999999999999987E-2</v>
      </c>
      <c r="D219" s="66" t="s">
        <v>58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1:59">
      <c r="A220" s="11" t="s">
        <v>56</v>
      </c>
      <c r="B220" s="178"/>
      <c r="C220" s="135">
        <f>0.025/0.2</f>
        <v>0.125</v>
      </c>
      <c r="D220" s="66" t="s">
        <v>58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1:59">
      <c r="A221" s="11" t="s">
        <v>57</v>
      </c>
      <c r="B221" s="178"/>
      <c r="C221" s="135">
        <f>0.05/0.2</f>
        <v>0.25</v>
      </c>
      <c r="D221" s="66" t="s">
        <v>58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1:59">
      <c r="A222" s="11" t="s">
        <v>60</v>
      </c>
      <c r="B222" s="178"/>
      <c r="C222" s="66"/>
      <c r="D222" s="66"/>
      <c r="E222" s="178"/>
      <c r="F222" s="178"/>
      <c r="G222" s="178"/>
      <c r="H222" s="178"/>
      <c r="I222" s="178"/>
      <c r="J222" s="178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1:59">
      <c r="A223" s="11" t="s">
        <v>61</v>
      </c>
      <c r="B223" s="178"/>
      <c r="C223" s="66"/>
      <c r="D223" s="66"/>
      <c r="E223" s="178"/>
      <c r="F223" s="178"/>
      <c r="G223" s="178"/>
      <c r="H223" s="178"/>
      <c r="I223" s="178"/>
      <c r="J223" s="178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1:59">
      <c r="A224" s="11" t="s">
        <v>59</v>
      </c>
      <c r="B224" s="178"/>
      <c r="C224" s="66"/>
      <c r="D224" s="66"/>
      <c r="E224" s="178"/>
      <c r="F224" s="178"/>
      <c r="G224" s="178"/>
      <c r="H224" s="178"/>
      <c r="I224" s="178"/>
      <c r="J224" s="178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1:59">
      <c r="A225" s="14" t="s">
        <v>62</v>
      </c>
      <c r="B225" s="178"/>
      <c r="C225" s="60"/>
      <c r="D225" s="60"/>
      <c r="E225" s="178"/>
      <c r="F225" s="178"/>
      <c r="G225" s="178"/>
      <c r="H225" s="178"/>
      <c r="I225" s="178"/>
      <c r="J225" s="178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1:59">
      <c r="A226" s="7"/>
      <c r="B226" s="178"/>
      <c r="C226" s="7"/>
      <c r="D226" s="7"/>
      <c r="E226" s="178"/>
      <c r="F226" s="178"/>
      <c r="G226" s="178"/>
      <c r="H226" s="178"/>
      <c r="I226" s="178"/>
      <c r="J226" s="178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1:59">
      <c r="B227" s="178"/>
      <c r="E227" s="178"/>
      <c r="F227" s="178"/>
      <c r="G227" s="178"/>
      <c r="H227" s="178"/>
      <c r="I227" s="178"/>
      <c r="J227" s="178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1:59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1:5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1:59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1:59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1:59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1:59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1:59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1:59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1:59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1:59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1:59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1:5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1:59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1:59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1:59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1:59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1:59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1:59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1:59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1:59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1:59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1:5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1:59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1:59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1:59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1:59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1:59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1:59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1:59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1:59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1:59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1: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1:59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1:59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1:59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1:59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1:59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1:59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1:59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1:59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1:59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1:5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1:59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1:59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1:59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1:59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1:59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1:59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1:59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1:59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1:59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1:5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1:59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1:59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1:59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1:59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1:59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1:59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1:59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1:59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1:59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1:5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1:59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1:59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1:59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1:59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1:59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1:59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1:59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1:59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1:59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1:5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1:59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1:59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1:59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1:59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1:59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1:59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1:59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1:59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1:59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1:5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1:59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1:59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1:59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1:59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1:59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1:59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1:59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1:59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1:59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1:5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1:59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1:59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1:59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1:59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1:59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1:59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1:59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1:59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1:59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1:5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1:59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1:59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1:59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1:59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1:59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1:59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1:59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1:59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1:59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1:5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1:59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1:59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1:59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1:59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1:59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1:59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1:59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1:59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1:59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1:5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1:59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1:59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1:59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1:59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1:59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1:59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1:59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1:59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1:59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1: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1:59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1:59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1:59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1:59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1:59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1:59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  <row r="366" spans="1:59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</row>
    <row r="367" spans="1:59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</row>
    <row r="368" spans="1:59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</row>
    <row r="369" spans="1:5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</row>
    <row r="370" spans="1:59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</row>
    <row r="371" spans="1:59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</row>
    <row r="372" spans="1:59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</row>
    <row r="373" spans="1:59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</row>
    <row r="374" spans="1:59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</row>
    <row r="375" spans="1:59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</row>
    <row r="376" spans="1:59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</row>
    <row r="377" spans="1:59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</row>
    <row r="378" spans="1:59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</row>
    <row r="379" spans="1:5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</row>
    <row r="380" spans="1:59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</row>
    <row r="381" spans="1:59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</row>
    <row r="382" spans="1:59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</row>
    <row r="383" spans="1:59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</row>
    <row r="384" spans="1:59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</row>
    <row r="385" spans="1:59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</row>
    <row r="386" spans="1:59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</row>
    <row r="387" spans="1:59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</row>
    <row r="388" spans="1:59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</row>
    <row r="389" spans="1:5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</row>
    <row r="390" spans="1:59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</row>
    <row r="391" spans="1:59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</row>
    <row r="392" spans="1:59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</row>
    <row r="393" spans="1:59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</row>
    <row r="394" spans="1:59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</row>
    <row r="395" spans="1:59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</row>
    <row r="396" spans="1:59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</row>
    <row r="397" spans="1:59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</row>
    <row r="398" spans="1:59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</row>
    <row r="399" spans="1:5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</row>
    <row r="400" spans="1:59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</row>
    <row r="401" spans="1:59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</row>
    <row r="402" spans="1:59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</row>
    <row r="403" spans="1:59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</row>
    <row r="404" spans="1:59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</row>
    <row r="405" spans="1:59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</row>
    <row r="406" spans="1:59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</row>
    <row r="407" spans="1:59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</row>
    <row r="408" spans="1:59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</row>
    <row r="409" spans="1:5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</row>
    <row r="410" spans="1:59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</row>
    <row r="411" spans="1:59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</row>
    <row r="412" spans="1:59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</row>
    <row r="413" spans="1:59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</row>
    <row r="414" spans="1:59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</row>
    <row r="415" spans="1:59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</row>
    <row r="416" spans="1:59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</row>
    <row r="417" spans="1:59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</row>
    <row r="418" spans="1:59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</row>
    <row r="419" spans="1:5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</row>
    <row r="420" spans="1:59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</row>
    <row r="421" spans="1:59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</row>
    <row r="422" spans="1:59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</row>
    <row r="423" spans="1:59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</row>
    <row r="424" spans="1:59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</row>
    <row r="425" spans="1:59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</row>
    <row r="426" spans="1:59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</row>
    <row r="427" spans="1:59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</row>
    <row r="428" spans="1:59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</row>
    <row r="429" spans="1:5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</row>
    <row r="430" spans="1:59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</row>
    <row r="431" spans="1:59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</row>
    <row r="432" spans="1:59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</row>
    <row r="433" spans="1:59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</row>
    <row r="434" spans="1:59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</row>
    <row r="435" spans="1:59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</row>
    <row r="436" spans="1:59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</row>
    <row r="437" spans="1:59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</row>
    <row r="438" spans="1:59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</row>
    <row r="439" spans="1:5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</row>
    <row r="440" spans="1:59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</row>
    <row r="441" spans="1:59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</row>
    <row r="442" spans="1:59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</row>
    <row r="443" spans="1:59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</row>
    <row r="444" spans="1:59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</row>
    <row r="445" spans="1:59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</row>
    <row r="446" spans="1:59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</row>
    <row r="447" spans="1:59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</row>
    <row r="448" spans="1:59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</row>
    <row r="449" spans="1:5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</row>
    <row r="450" spans="1:59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</row>
    <row r="451" spans="1:59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</row>
    <row r="452" spans="1:59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</row>
    <row r="453" spans="1:59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</row>
    <row r="454" spans="1:59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</row>
    <row r="455" spans="1:59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</row>
    <row r="456" spans="1:59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</row>
    <row r="457" spans="1:59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</row>
    <row r="458" spans="1:59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</row>
    <row r="459" spans="1: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</row>
    <row r="460" spans="1:59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</row>
    <row r="461" spans="1:59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</row>
    <row r="462" spans="1:59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</row>
    <row r="463" spans="1:59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</row>
    <row r="464" spans="1:59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</row>
    <row r="465" spans="1:59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</row>
    <row r="466" spans="1:59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</row>
    <row r="467" spans="1:59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</row>
    <row r="468" spans="1:59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</row>
    <row r="469" spans="1:5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</row>
    <row r="470" spans="1:59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</row>
    <row r="471" spans="1:59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</row>
    <row r="472" spans="1:59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</row>
    <row r="473" spans="1:59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</row>
    <row r="474" spans="1:59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</row>
    <row r="475" spans="1:59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</row>
    <row r="476" spans="1:59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</row>
    <row r="477" spans="1:59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</row>
    <row r="478" spans="1:59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</row>
    <row r="479" spans="1:5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</row>
    <row r="480" spans="1:59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</row>
    <row r="481" spans="1:59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</row>
    <row r="482" spans="1:59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</row>
    <row r="483" spans="1:59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</row>
    <row r="484" spans="1:59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</row>
    <row r="485" spans="1:59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</row>
    <row r="486" spans="1:59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</row>
    <row r="487" spans="1:59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</row>
    <row r="488" spans="1:59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</row>
    <row r="489" spans="1:5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</row>
    <row r="490" spans="1:59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</row>
    <row r="491" spans="1:59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</row>
    <row r="492" spans="1:59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</row>
    <row r="493" spans="1:59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</row>
    <row r="494" spans="1:59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</row>
    <row r="495" spans="1:59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</row>
    <row r="496" spans="1:59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</row>
    <row r="497" spans="1:59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</row>
    <row r="498" spans="1:59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</row>
    <row r="499" spans="1:5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</row>
    <row r="500" spans="1:59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</row>
    <row r="501" spans="1:59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</row>
    <row r="502" spans="1:59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</row>
    <row r="503" spans="1:59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</row>
    <row r="504" spans="1:59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</row>
    <row r="505" spans="1:59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</row>
    <row r="506" spans="1:59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</row>
    <row r="507" spans="1:59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</row>
    <row r="508" spans="1:59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</row>
    <row r="509" spans="1:5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</row>
    <row r="510" spans="1:59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</row>
    <row r="511" spans="1:59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</row>
    <row r="512" spans="1:59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</row>
    <row r="513" spans="1:59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</row>
    <row r="514" spans="1:59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</row>
    <row r="515" spans="1:59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</row>
    <row r="516" spans="1:59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</row>
    <row r="517" spans="1:59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</row>
    <row r="518" spans="1:59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</row>
    <row r="519" spans="1:5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</row>
    <row r="520" spans="1:59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</row>
    <row r="521" spans="1:59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</row>
    <row r="522" spans="1:59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</row>
    <row r="523" spans="1:59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</row>
    <row r="524" spans="1:59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</row>
    <row r="525" spans="1:59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</row>
    <row r="526" spans="1:59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</row>
    <row r="527" spans="1:59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</row>
    <row r="528" spans="1:59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</row>
    <row r="529" spans="1:5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</row>
    <row r="530" spans="1:59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</row>
    <row r="531" spans="1:59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</row>
    <row r="532" spans="1:59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</row>
    <row r="533" spans="1:59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</row>
    <row r="534" spans="1:59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</row>
    <row r="535" spans="1:59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</row>
    <row r="536" spans="1:59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</row>
    <row r="537" spans="1:59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</row>
    <row r="538" spans="1:59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</row>
    <row r="539" spans="1:5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</row>
    <row r="540" spans="1:59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</row>
    <row r="541" spans="1:59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</row>
    <row r="542" spans="1:59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</row>
    <row r="543" spans="1:59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</row>
    <row r="544" spans="1:59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</row>
    <row r="545" spans="1:59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</row>
    <row r="546" spans="1:59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</row>
    <row r="547" spans="1:59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</row>
    <row r="548" spans="1:59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</row>
    <row r="549" spans="1:5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</row>
    <row r="550" spans="1:59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</row>
    <row r="551" spans="1:59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</row>
    <row r="552" spans="1:59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</row>
    <row r="553" spans="1:59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</row>
    <row r="554" spans="1:59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</row>
    <row r="555" spans="1:59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</row>
    <row r="556" spans="1:59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</row>
    <row r="557" spans="1:59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</row>
    <row r="558" spans="1:59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</row>
    <row r="559" spans="1: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</row>
    <row r="560" spans="1:59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</row>
    <row r="561" spans="1:59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</row>
    <row r="562" spans="1:59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</row>
    <row r="563" spans="1:59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</row>
    <row r="564" spans="1:59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</row>
    <row r="565" spans="1:59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</row>
    <row r="566" spans="1:59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</row>
    <row r="567" spans="1:59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</row>
    <row r="568" spans="1:59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</row>
    <row r="569" spans="1:5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</row>
    <row r="570" spans="1:59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</row>
    <row r="571" spans="1:59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</row>
    <row r="572" spans="1:59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</row>
    <row r="573" spans="1:59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</row>
    <row r="574" spans="1:59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</row>
  </sheetData>
  <phoneticPr fontId="14" type="noConversion"/>
  <pageMargins left="0.75" right="0.75" top="1" bottom="1" header="0" footer="0"/>
  <pageSetup paperSize="9" scale="82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Y193"/>
  <sheetViews>
    <sheetView topLeftCell="G40" workbookViewId="0">
      <selection activeCell="R49" sqref="R49"/>
    </sheetView>
  </sheetViews>
  <sheetFormatPr baseColWidth="10" defaultRowHeight="12.75"/>
  <cols>
    <col min="2" max="8" width="6.7109375" customWidth="1"/>
    <col min="9" max="9" width="9.7109375" customWidth="1"/>
    <col min="10" max="22" width="6.7109375" customWidth="1"/>
  </cols>
  <sheetData>
    <row r="1" spans="9:22">
      <c r="I1" s="1" t="s">
        <v>521</v>
      </c>
      <c r="M1" s="67" t="str">
        <f>VLOOKUP(Lugar!E84,Lugar!A65:C84,2)</f>
        <v>Santa Rosa</v>
      </c>
    </row>
    <row r="2" spans="9:22">
      <c r="I2" s="1" t="s">
        <v>160</v>
      </c>
    </row>
    <row r="3" spans="9:22">
      <c r="I3" s="1" t="s">
        <v>161</v>
      </c>
      <c r="J3" s="1">
        <v>1</v>
      </c>
      <c r="K3" s="1">
        <v>2</v>
      </c>
      <c r="L3" s="1">
        <v>3</v>
      </c>
      <c r="M3" s="1">
        <v>4</v>
      </c>
      <c r="N3" s="1">
        <v>5</v>
      </c>
      <c r="O3" s="1">
        <v>6</v>
      </c>
      <c r="P3" s="1">
        <v>7</v>
      </c>
      <c r="Q3" s="1">
        <v>8</v>
      </c>
      <c r="R3" s="1">
        <v>9</v>
      </c>
      <c r="S3" s="1">
        <v>10</v>
      </c>
      <c r="T3" s="1">
        <v>11</v>
      </c>
      <c r="U3" s="1">
        <v>12</v>
      </c>
    </row>
    <row r="4" spans="9:22">
      <c r="I4" s="1" t="s">
        <v>162</v>
      </c>
      <c r="J4" s="78">
        <v>0</v>
      </c>
      <c r="K4" s="78">
        <f t="shared" ref="K4:V4" si="0">IF($M$1="Bolivar",C49,IF($M$1="CABA",C70,IF($M$1="Rosario",C89,IF($M$1="Laboulage",C107,IF($M$1="Mar del Plata",C107,IF($M$1="Santa Rosa",C144,IF($M$1="Ceres",C162,IF($M$1="Concordia",C180,0))))))))</f>
        <v>0</v>
      </c>
      <c r="L4" s="78">
        <f t="shared" si="0"/>
        <v>35.80209374999999</v>
      </c>
      <c r="M4" s="78">
        <f t="shared" si="0"/>
        <v>117.30743749999999</v>
      </c>
      <c r="N4" s="78">
        <f t="shared" si="0"/>
        <v>223.96066249999998</v>
      </c>
      <c r="O4" s="78">
        <f t="shared" si="0"/>
        <v>292.69574999999992</v>
      </c>
      <c r="P4" s="78">
        <f t="shared" si="0"/>
        <v>319.31614583333328</v>
      </c>
      <c r="Q4" s="78">
        <f t="shared" si="0"/>
        <v>265.74969583333336</v>
      </c>
      <c r="R4" s="78">
        <f t="shared" si="0"/>
        <v>183.85950000000003</v>
      </c>
      <c r="S4" s="78">
        <f t="shared" si="0"/>
        <v>107.86947291666668</v>
      </c>
      <c r="T4" s="78">
        <f t="shared" si="0"/>
        <v>53.987437499999999</v>
      </c>
      <c r="U4" s="78">
        <f t="shared" si="0"/>
        <v>0</v>
      </c>
      <c r="V4" s="78">
        <f t="shared" si="0"/>
        <v>1636.7042437499997</v>
      </c>
    </row>
    <row r="5" spans="9:22">
      <c r="I5" s="1"/>
    </row>
    <row r="6" spans="9:22">
      <c r="I6" s="1" t="s">
        <v>163</v>
      </c>
      <c r="J6" s="1" t="s">
        <v>164</v>
      </c>
    </row>
    <row r="7" spans="9:22">
      <c r="I7" s="1" t="s">
        <v>165</v>
      </c>
      <c r="J7" s="78">
        <f t="shared" ref="J7:U7" si="1">IF($M$1="Bolivar",B52,IF($M$1="CABA",B73,IF($M$1="Rosario",B92,IF($M$1="Laboulage",B110,IF($M$1="Mar del Plata",B110,IF($M$1="Santa Rosa",B147,IF($M$1="Ceres",B165,IF($M$1="Concordia",B183,0))))))))</f>
        <v>0</v>
      </c>
      <c r="K7" s="78">
        <f t="shared" si="1"/>
        <v>0</v>
      </c>
      <c r="L7" s="78">
        <f t="shared" si="1"/>
        <v>7.7264953685664928</v>
      </c>
      <c r="M7" s="78">
        <f t="shared" si="1"/>
        <v>2.3280951734360147</v>
      </c>
      <c r="N7" s="78">
        <f t="shared" si="1"/>
        <v>1.2794575256898832</v>
      </c>
      <c r="O7" s="78">
        <f t="shared" si="1"/>
        <v>0.71336612574239588</v>
      </c>
      <c r="P7" s="78">
        <f t="shared" si="1"/>
        <v>0.85899585472898421</v>
      </c>
      <c r="Q7" s="78">
        <f t="shared" si="1"/>
        <v>1.1045532438191397</v>
      </c>
      <c r="R7" s="78">
        <f t="shared" si="1"/>
        <v>1.475784986795464</v>
      </c>
      <c r="S7" s="78">
        <f t="shared" si="1"/>
        <v>2.349339942950408</v>
      </c>
      <c r="T7" s="78">
        <f t="shared" si="1"/>
        <v>3.8205401695116041</v>
      </c>
      <c r="U7" s="78">
        <f t="shared" si="1"/>
        <v>0</v>
      </c>
    </row>
    <row r="8" spans="9:22">
      <c r="I8" s="1" t="s">
        <v>166</v>
      </c>
      <c r="J8" s="78">
        <f t="shared" ref="J8:U8" si="2">IF($M$1="Bolivar",B53,IF($M$1="CABA",B74,IF($M$1="Rosario",B93,IF($M$1="Laboulage",B111,IF($M$1="Mar del Plata",B111,IF($M$1="Santa Rosa",B148,IF($M$1="Ceres",B166,IF($M$1="Concordia",B184,0))))))))</f>
        <v>0</v>
      </c>
      <c r="K8" s="78">
        <f t="shared" si="2"/>
        <v>0</v>
      </c>
      <c r="L8" s="78">
        <f t="shared" si="2"/>
        <v>5.4611201706222721</v>
      </c>
      <c r="M8" s="78">
        <f t="shared" si="2"/>
        <v>1.7287020147657122</v>
      </c>
      <c r="N8" s="78">
        <f t="shared" si="2"/>
        <v>0.96328018385169811</v>
      </c>
      <c r="O8" s="78">
        <f t="shared" si="2"/>
        <v>0.55165312262164479</v>
      </c>
      <c r="P8" s="78">
        <f t="shared" si="2"/>
        <v>0.64997306643351516</v>
      </c>
      <c r="Q8" s="78">
        <f t="shared" si="2"/>
        <v>0.82416161931750898</v>
      </c>
      <c r="R8" s="78">
        <f t="shared" si="2"/>
        <v>1.0677612997634889</v>
      </c>
      <c r="S8" s="78">
        <f t="shared" si="2"/>
        <v>1.5983665336902069</v>
      </c>
      <c r="T8" s="78">
        <f t="shared" si="2"/>
        <v>2.4972259835257105</v>
      </c>
      <c r="U8" s="78">
        <f t="shared" si="2"/>
        <v>0</v>
      </c>
    </row>
    <row r="9" spans="9:22">
      <c r="I9" s="1" t="s">
        <v>167</v>
      </c>
      <c r="J9" s="78">
        <f t="shared" ref="J9:U9" si="3">IF($M$1="Bolivar",B54,IF($M$1="CABA",B75,IF($M$1="Rosario",B94,IF($M$1="Laboulage",B112,IF($M$1="Mar del Plata",B112,IF($M$1="Santa Rosa",B149,IF($M$1="Ceres",B167,IF($M$1="Concordia",B185,0))))))))</f>
        <v>0</v>
      </c>
      <c r="K9" s="78">
        <f t="shared" si="3"/>
        <v>0</v>
      </c>
      <c r="L9" s="78">
        <f t="shared" si="3"/>
        <v>7.7834274397032965</v>
      </c>
      <c r="M9" s="78">
        <f t="shared" si="3"/>
        <v>2.3452495589244911</v>
      </c>
      <c r="N9" s="78">
        <f t="shared" si="3"/>
        <v>1.2888851074581245</v>
      </c>
      <c r="O9" s="78">
        <f t="shared" si="3"/>
        <v>0.71862250772155045</v>
      </c>
      <c r="P9" s="78">
        <f t="shared" si="3"/>
        <v>0.86532529786909262</v>
      </c>
      <c r="Q9" s="78">
        <f t="shared" si="3"/>
        <v>1.1126920571946493</v>
      </c>
      <c r="R9" s="78">
        <f t="shared" si="3"/>
        <v>1.4866591919613255</v>
      </c>
      <c r="S9" s="78">
        <f t="shared" si="3"/>
        <v>2.3666508688458321</v>
      </c>
      <c r="T9" s="78">
        <f t="shared" si="3"/>
        <v>3.8486915181290575</v>
      </c>
      <c r="U9" s="78">
        <f t="shared" si="3"/>
        <v>0</v>
      </c>
    </row>
    <row r="10" spans="9:22">
      <c r="I10" s="1" t="s">
        <v>168</v>
      </c>
      <c r="J10" s="78">
        <f t="shared" ref="J10:U10" si="4">IF($M$1="Bolivar",B55,IF($M$1="CABA",B76,IF($M$1="Rosario",B95,IF($M$1="Laboulage",B113,IF($M$1="Mar del Plata",B113,IF($M$1="Santa Rosa",B150,IF($M$1="Ceres",B168,IF($M$1="Concordia",B186,0))))))))</f>
        <v>0</v>
      </c>
      <c r="K10" s="78">
        <f t="shared" si="4"/>
        <v>0</v>
      </c>
      <c r="L10" s="78">
        <f t="shared" si="4"/>
        <v>5.3827844304699033</v>
      </c>
      <c r="M10" s="78">
        <f t="shared" si="4"/>
        <v>1.703905059635876</v>
      </c>
      <c r="N10" s="78">
        <f t="shared" si="4"/>
        <v>0.94946264023087457</v>
      </c>
      <c r="O10" s="78">
        <f t="shared" si="4"/>
        <v>0.54374006553485887</v>
      </c>
      <c r="P10" s="78">
        <f t="shared" si="4"/>
        <v>0.6406496822838541</v>
      </c>
      <c r="Q10" s="78">
        <f t="shared" si="4"/>
        <v>0.81233962887647926</v>
      </c>
      <c r="R10" s="78">
        <f t="shared" si="4"/>
        <v>1.0524450516111439</v>
      </c>
      <c r="S10" s="78">
        <f t="shared" si="4"/>
        <v>1.5754391448872738</v>
      </c>
      <c r="T10" s="78">
        <f t="shared" si="4"/>
        <v>2.4614051190079236</v>
      </c>
      <c r="U10" s="78">
        <f t="shared" si="4"/>
        <v>0</v>
      </c>
    </row>
    <row r="11" spans="9:22">
      <c r="I11" s="1"/>
    </row>
    <row r="12" spans="9:22">
      <c r="I12" s="1" t="s">
        <v>163</v>
      </c>
      <c r="J12" s="1" t="s">
        <v>169</v>
      </c>
    </row>
    <row r="13" spans="9:22">
      <c r="I13" s="1" t="s">
        <v>165</v>
      </c>
      <c r="J13" s="78">
        <f t="shared" ref="J13:J16" si="5">IF($M$1="Bolivar",B58,IF($M$1="CABA",B79,IF($M$1="Rosario",B98,IF($M$1="Laboulage",B116,IF($M$1="Mar del Plata",B116,IF($M$1="Santa Rosa",B153,IF($M$1="Ceres",B171,IF($M$1="Concordia",B189,0))))))))</f>
        <v>0</v>
      </c>
      <c r="K13" s="78">
        <f t="shared" ref="K13:K16" si="6">IF($M$1="Bolivar",C58,IF($M$1="CABA",C79,IF($M$1="Rosario",C98,IF($M$1="Laboulage",C116,IF($M$1="Mar del Plata",C116,IF($M$1="Santa Rosa",C153,IF($M$1="Ceres",C171,IF($M$1="Concordia",C189,0))))))))</f>
        <v>0</v>
      </c>
      <c r="L13" s="78">
        <f t="shared" ref="L13:L16" si="7">IF($M$1="Bolivar",D58,IF($M$1="CABA",D79,IF($M$1="Rosario",D98,IF($M$1="Laboulage",D116,IF($M$1="Mar del Plata",D116,IF($M$1="Santa Rosa",D153,IF($M$1="Ceres",D171,IF($M$1="Concordia",D189,0))))))))</f>
        <v>377.94756074442444</v>
      </c>
      <c r="M13" s="78">
        <f t="shared" ref="M13:M16" si="8">IF($M$1="Bolivar",E58,IF($M$1="CABA",E79,IF($M$1="Rosario",E98,IF($M$1="Laboulage",E116,IF($M$1="Mar del Plata",E116,IF($M$1="Santa Rosa",E153,IF($M$1="Ceres",E171,IF($M$1="Concordia",E189,0))))))))</f>
        <v>113.88059527747549</v>
      </c>
      <c r="N13" s="78">
        <f t="shared" ref="N13:N16" si="9">IF($M$1="Bolivar",F58,IF($M$1="CABA",F79,IF($M$1="Rosario",F98,IF($M$1="Laboulage",F116,IF($M$1="Mar del Plata",F116,IF($M$1="Santa Rosa",F153,IF($M$1="Ceres",F171,IF($M$1="Concordia",F189,0))))))))</f>
        <v>62.585665019340475</v>
      </c>
      <c r="O13" s="78">
        <f t="shared" ref="O13:O16" si="10">IF($M$1="Bolivar",G58,IF($M$1="CABA",G79,IF($M$1="Rosario",G98,IF($M$1="Laboulage",G116,IF($M$1="Mar del Plata",G116,IF($M$1="Santa Rosa",G153,IF($M$1="Ceres",G171,IF($M$1="Concordia",G189,0))))))))</f>
        <v>34.894861678026338</v>
      </c>
      <c r="P13" s="78">
        <f t="shared" ref="P13:P16" si="11">IF($M$1="Bolivar",H58,IF($M$1="CABA",H79,IF($M$1="Rosario",H98,IF($M$1="Laboulage",H116,IF($M$1="Mar del Plata",H116,IF($M$1="Santa Rosa",H153,IF($M$1="Ceres",H171,IF($M$1="Concordia",H189,0))))))))</f>
        <v>42.018453709967773</v>
      </c>
      <c r="Q13" s="78">
        <f t="shared" ref="Q13:Q16" si="12">IF($M$1="Bolivar",I58,IF($M$1="CABA",I79,IF($M$1="Rosario",I98,IF($M$1="Laboulage",I116,IF($M$1="Mar del Plata",I116,IF($M$1="Santa Rosa",I153,IF($M$1="Ceres",I171,IF($M$1="Concordia",I189,0))))))))</f>
        <v>54.030085349192142</v>
      </c>
      <c r="R13" s="78">
        <f t="shared" ref="R13:R16" si="13">IF($M$1="Bolivar",J58,IF($M$1="CABA",J79,IF($M$1="Rosario",J98,IF($M$1="Laboulage",J116,IF($M$1="Mar del Plata",J116,IF($M$1="Santa Rosa",J153,IF($M$1="Ceres",J171,IF($M$1="Concordia",J189,0))))))))</f>
        <v>72.189176248231149</v>
      </c>
      <c r="S13" s="78">
        <f t="shared" ref="S13:S16" si="14">IF($M$1="Bolivar",K58,IF($M$1="CABA",K79,IF($M$1="Rosario",K98,IF($M$1="Laboulage",K116,IF($M$1="Mar del Plata",K116,IF($M$1="Santa Rosa",K153,IF($M$1="Ceres",K171,IF($M$1="Concordia",K189,0))))))))</f>
        <v>114.91979978527968</v>
      </c>
      <c r="T13" s="78">
        <f t="shared" ref="T13:T16" si="15">IF($M$1="Bolivar",L58,IF($M$1="CABA",L79,IF($M$1="Rosario",L98,IF($M$1="Laboulage",L116,IF($M$1="Mar del Plata",L116,IF($M$1="Santa Rosa",L153,IF($M$1="Ceres",L171,IF($M$1="Concordia",L189,0))))))))</f>
        <v>186.88470890275073</v>
      </c>
      <c r="U13" s="78">
        <f t="shared" ref="U13:U16" si="16">IF($M$1="Bolivar",M58,IF($M$1="CABA",M79,IF($M$1="Rosario",M98,IF($M$1="Laboulage",M116,IF($M$1="Mar del Plata",M116,IF($M$1="Santa Rosa",M153,IF($M$1="Ceres",M171,IF($M$1="Concordia",M189,0))))))))</f>
        <v>0</v>
      </c>
    </row>
    <row r="14" spans="9:22">
      <c r="I14" s="1" t="s">
        <v>166</v>
      </c>
      <c r="J14" s="78">
        <f t="shared" si="5"/>
        <v>0</v>
      </c>
      <c r="K14" s="78">
        <f t="shared" si="6"/>
        <v>0</v>
      </c>
      <c r="L14" s="78">
        <f t="shared" si="7"/>
        <v>267.13496209625021</v>
      </c>
      <c r="M14" s="78">
        <f t="shared" si="8"/>
        <v>84.560810376295024</v>
      </c>
      <c r="N14" s="78">
        <f t="shared" si="9"/>
        <v>47.119603187924554</v>
      </c>
      <c r="O14" s="78">
        <f t="shared" si="10"/>
        <v>26.984543719538664</v>
      </c>
      <c r="P14" s="78">
        <f t="shared" si="11"/>
        <v>31.793940627663591</v>
      </c>
      <c r="Q14" s="78">
        <f t="shared" si="12"/>
        <v>40.314509854940688</v>
      </c>
      <c r="R14" s="78">
        <f t="shared" si="13"/>
        <v>52.230378645496998</v>
      </c>
      <c r="S14" s="78">
        <f t="shared" si="14"/>
        <v>78.185348436417158</v>
      </c>
      <c r="T14" s="78">
        <f t="shared" si="15"/>
        <v>122.15376106233877</v>
      </c>
      <c r="U14" s="78">
        <f t="shared" si="16"/>
        <v>0</v>
      </c>
    </row>
    <row r="15" spans="9:22">
      <c r="I15" s="1" t="s">
        <v>167</v>
      </c>
      <c r="J15" s="78">
        <f t="shared" si="5"/>
        <v>0</v>
      </c>
      <c r="K15" s="78">
        <f t="shared" si="6"/>
        <v>0</v>
      </c>
      <c r="L15" s="78">
        <f t="shared" si="7"/>
        <v>380.73243750780432</v>
      </c>
      <c r="M15" s="78">
        <f t="shared" si="8"/>
        <v>114.71971545320427</v>
      </c>
      <c r="N15" s="78">
        <f t="shared" si="9"/>
        <v>63.046822551061929</v>
      </c>
      <c r="O15" s="78">
        <f t="shared" si="10"/>
        <v>35.151981711443376</v>
      </c>
      <c r="P15" s="78">
        <f t="shared" si="11"/>
        <v>42.328063368883328</v>
      </c>
      <c r="Q15" s="78">
        <f t="shared" si="12"/>
        <v>54.428201767554611</v>
      </c>
      <c r="R15" s="78">
        <f t="shared" si="13"/>
        <v>72.721096494270753</v>
      </c>
      <c r="S15" s="78">
        <f t="shared" si="14"/>
        <v>115.76657725738173</v>
      </c>
      <c r="T15" s="78">
        <f t="shared" si="15"/>
        <v>188.26175412624465</v>
      </c>
      <c r="U15" s="78">
        <f t="shared" si="16"/>
        <v>0</v>
      </c>
    </row>
    <row r="16" spans="9:22">
      <c r="I16" s="1" t="s">
        <v>168</v>
      </c>
      <c r="J16" s="78">
        <f t="shared" si="5"/>
        <v>0</v>
      </c>
      <c r="K16" s="78">
        <f t="shared" si="6"/>
        <v>0</v>
      </c>
      <c r="L16" s="78">
        <f t="shared" si="7"/>
        <v>263.30310813175481</v>
      </c>
      <c r="M16" s="78">
        <f t="shared" si="8"/>
        <v>83.347847932372758</v>
      </c>
      <c r="N16" s="78">
        <f t="shared" si="9"/>
        <v>46.443707240556783</v>
      </c>
      <c r="O16" s="78">
        <f t="shared" si="10"/>
        <v>26.597470346512495</v>
      </c>
      <c r="P16" s="78">
        <f t="shared" si="11"/>
        <v>31.337880003906122</v>
      </c>
      <c r="Q16" s="78">
        <f t="shared" si="12"/>
        <v>39.736227951283759</v>
      </c>
      <c r="R16" s="78">
        <f t="shared" si="13"/>
        <v>51.481172394434545</v>
      </c>
      <c r="S16" s="78">
        <f t="shared" si="14"/>
        <v>77.063837290812813</v>
      </c>
      <c r="T16" s="78">
        <f t="shared" si="15"/>
        <v>120.40155547332981</v>
      </c>
      <c r="U16" s="78">
        <f t="shared" si="16"/>
        <v>0</v>
      </c>
    </row>
    <row r="20" spans="1:22">
      <c r="A20" t="s">
        <v>170</v>
      </c>
      <c r="B20">
        <f>+'Balance calefacción'!M42*5.67</f>
        <v>71.189423648437497</v>
      </c>
      <c r="J20" s="1" t="s">
        <v>171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2">
      <c r="I21" t="s">
        <v>2</v>
      </c>
      <c r="J21" s="1">
        <v>1</v>
      </c>
      <c r="K21" s="1">
        <v>2</v>
      </c>
      <c r="L21" s="1">
        <v>3</v>
      </c>
      <c r="M21" s="1">
        <v>4</v>
      </c>
      <c r="N21" s="1">
        <v>5</v>
      </c>
      <c r="O21" s="1">
        <v>6</v>
      </c>
      <c r="P21" s="1">
        <v>7</v>
      </c>
      <c r="Q21" s="1">
        <v>8</v>
      </c>
      <c r="R21" s="1">
        <v>9</v>
      </c>
      <c r="S21" s="1">
        <v>10</v>
      </c>
      <c r="T21" s="1">
        <v>11</v>
      </c>
      <c r="U21" s="1">
        <v>12</v>
      </c>
    </row>
    <row r="22" spans="1:22">
      <c r="B22" s="1" t="s">
        <v>172</v>
      </c>
      <c r="C22" s="1" t="s">
        <v>173</v>
      </c>
      <c r="D22" s="1" t="s">
        <v>174</v>
      </c>
      <c r="E22" s="1" t="s">
        <v>175</v>
      </c>
      <c r="F22" s="1" t="s">
        <v>176</v>
      </c>
      <c r="G22" s="1" t="s">
        <v>177</v>
      </c>
    </row>
    <row r="23" spans="1:22">
      <c r="A23" s="1" t="s">
        <v>85</v>
      </c>
      <c r="B23">
        <v>1.0043</v>
      </c>
      <c r="C23">
        <v>0.47170000000000001</v>
      </c>
      <c r="D23">
        <v>1.19</v>
      </c>
      <c r="E23">
        <v>26.4</v>
      </c>
      <c r="F23">
        <v>0</v>
      </c>
      <c r="G23">
        <v>1.8</v>
      </c>
      <c r="J23" s="79">
        <f>IF(+(1-$B23*EXP((-$C23*(J$14-$E23*$D23)/$B$20)))&lt;0,0,+(1-$B23*EXP((-$C23*(J$14-$E23*$D23)/$B$20))))</f>
        <v>0</v>
      </c>
      <c r="K23" s="79">
        <f t="shared" ref="K23:U24" si="17">IF(+(1-$B23*EXP((-$C23*(K$14-$E23*$D23)/$B$20)))&lt;0,0,+(1-$B23*EXP((-$C23*(K$14-$E23*$D23)/$B$20))))</f>
        <v>0</v>
      </c>
      <c r="L23" s="79">
        <f t="shared" si="17"/>
        <v>0.78935464662689647</v>
      </c>
      <c r="M23" s="79">
        <f t="shared" si="17"/>
        <v>0.2937923021811818</v>
      </c>
      <c r="N23" s="79">
        <f t="shared" si="17"/>
        <v>9.4946341613380336E-2</v>
      </c>
      <c r="O23" s="79">
        <f t="shared" si="17"/>
        <v>0</v>
      </c>
      <c r="P23" s="79">
        <f t="shared" si="17"/>
        <v>0</v>
      </c>
      <c r="Q23" s="79">
        <f t="shared" si="17"/>
        <v>5.3203032979186826E-2</v>
      </c>
      <c r="R23" s="79">
        <f t="shared" si="17"/>
        <v>0.1250818708624023</v>
      </c>
      <c r="S23" s="79">
        <f t="shared" si="17"/>
        <v>0.26332037647418538</v>
      </c>
      <c r="T23" s="79">
        <f t="shared" si="17"/>
        <v>0.44950433330962913</v>
      </c>
      <c r="U23" s="79">
        <f t="shared" si="17"/>
        <v>0</v>
      </c>
      <c r="V23" s="79">
        <f t="shared" ref="V23:V42" si="18">+(J23*J$4+K23*K$4+L23*L$4+M23*M$4+N23*N$4+O23*O$4+P23*P$4+Q23*Q$4+R23*R$4+S23*S$4+T23*T$4+U23*U$4)/V$4</f>
        <v>0.10618706147214101</v>
      </c>
    </row>
    <row r="24" spans="1:22">
      <c r="A24" s="1" t="s">
        <v>109</v>
      </c>
      <c r="B24">
        <v>1.0075000000000001</v>
      </c>
      <c r="C24">
        <v>1.105</v>
      </c>
      <c r="D24">
        <v>1.0900000000000001</v>
      </c>
      <c r="E24">
        <v>11.8</v>
      </c>
      <c r="F24">
        <v>0</v>
      </c>
      <c r="G24">
        <v>1.8</v>
      </c>
      <c r="J24" s="79">
        <f t="shared" ref="J24:U41" si="19">IF(+(1-$B24*EXP((-$C24*(J$14-$E24*$D24)/$B$20)))&lt;0,0,+(1-$B24*EXP((-$C24*(J$14-$E24*$D24)/$B$20))))</f>
        <v>0</v>
      </c>
      <c r="K24" s="79">
        <f t="shared" si="17"/>
        <v>0</v>
      </c>
      <c r="L24" s="79">
        <f t="shared" si="17"/>
        <v>0.98053904102063449</v>
      </c>
      <c r="M24" s="79">
        <f t="shared" si="17"/>
        <v>0.66893305389662472</v>
      </c>
      <c r="N24" s="79">
        <f t="shared" si="17"/>
        <v>0.40801467121690671</v>
      </c>
      <c r="O24" s="79">
        <f t="shared" si="17"/>
        <v>0.19082305534336164</v>
      </c>
      <c r="P24" s="79">
        <f t="shared" si="17"/>
        <v>0.24902954848676007</v>
      </c>
      <c r="Q24" s="79">
        <f t="shared" si="17"/>
        <v>0.34206226624779168</v>
      </c>
      <c r="R24" s="79">
        <f t="shared" si="17"/>
        <v>0.4531620228820884</v>
      </c>
      <c r="S24" s="79">
        <f t="shared" si="17"/>
        <v>0.63449486468932026</v>
      </c>
      <c r="T24" s="79">
        <f t="shared" si="17"/>
        <v>0.81528686350263335</v>
      </c>
      <c r="U24" s="79">
        <f t="shared" si="17"/>
        <v>0</v>
      </c>
      <c r="V24" s="79">
        <f t="shared" si="18"/>
        <v>0.38309097434298717</v>
      </c>
    </row>
    <row r="25" spans="1:22">
      <c r="A25" s="1" t="s">
        <v>110</v>
      </c>
      <c r="B25" s="80">
        <v>1.0125</v>
      </c>
      <c r="C25">
        <v>1.0748</v>
      </c>
      <c r="D25">
        <v>0.94</v>
      </c>
      <c r="E25">
        <v>14.6</v>
      </c>
      <c r="F25">
        <v>4</v>
      </c>
      <c r="G25">
        <v>1.8</v>
      </c>
      <c r="J25" s="79">
        <f t="shared" si="19"/>
        <v>0</v>
      </c>
      <c r="K25" s="79">
        <f t="shared" si="19"/>
        <v>0</v>
      </c>
      <c r="L25" s="79">
        <f t="shared" si="19"/>
        <v>0.97792947790489704</v>
      </c>
      <c r="M25" s="79">
        <f t="shared" si="19"/>
        <v>0.65252196116474592</v>
      </c>
      <c r="N25" s="79">
        <f t="shared" si="19"/>
        <v>0.3884605982368734</v>
      </c>
      <c r="O25" s="79">
        <f t="shared" si="19"/>
        <v>0.17120449535607063</v>
      </c>
      <c r="P25" s="79">
        <f t="shared" si="19"/>
        <v>0.22925129733451299</v>
      </c>
      <c r="Q25" s="79">
        <f t="shared" si="19"/>
        <v>0.32228897926814803</v>
      </c>
      <c r="R25" s="79">
        <f t="shared" si="19"/>
        <v>0.43387314067389848</v>
      </c>
      <c r="S25" s="79">
        <f t="shared" si="19"/>
        <v>0.61741280614160132</v>
      </c>
      <c r="T25" s="79">
        <f t="shared" si="19"/>
        <v>0.80301402013084511</v>
      </c>
      <c r="U25" s="79">
        <f t="shared" si="19"/>
        <v>0</v>
      </c>
      <c r="V25" s="79">
        <f t="shared" si="18"/>
        <v>0.3649068096565829</v>
      </c>
    </row>
    <row r="26" spans="1:22">
      <c r="A26" s="1" t="s">
        <v>111</v>
      </c>
      <c r="B26" s="80">
        <v>1.0699000000000001</v>
      </c>
      <c r="C26">
        <v>1.3052999999999999</v>
      </c>
      <c r="D26">
        <v>0.78</v>
      </c>
      <c r="E26">
        <v>8.4</v>
      </c>
      <c r="F26">
        <v>4</v>
      </c>
      <c r="G26">
        <v>9</v>
      </c>
      <c r="J26" s="79">
        <f t="shared" si="19"/>
        <v>0</v>
      </c>
      <c r="K26" s="79">
        <f t="shared" si="19"/>
        <v>0</v>
      </c>
      <c r="L26" s="79">
        <f t="shared" si="19"/>
        <v>0.99099861531011801</v>
      </c>
      <c r="M26" s="79">
        <f t="shared" si="19"/>
        <v>0.74404977444959752</v>
      </c>
      <c r="N26" s="79">
        <f t="shared" si="19"/>
        <v>0.49148761360834092</v>
      </c>
      <c r="O26" s="79">
        <f t="shared" si="19"/>
        <v>0.26440643476021009</v>
      </c>
      <c r="P26" s="79">
        <f t="shared" si="19"/>
        <v>0.32649553801354592</v>
      </c>
      <c r="Q26" s="79">
        <f t="shared" si="19"/>
        <v>0.42390938439607018</v>
      </c>
      <c r="R26" s="79">
        <f t="shared" si="19"/>
        <v>0.53697525547280978</v>
      </c>
      <c r="S26" s="79">
        <f t="shared" si="19"/>
        <v>0.71231076777371971</v>
      </c>
      <c r="T26" s="79">
        <f t="shared" si="19"/>
        <v>0.87153016778642112</v>
      </c>
      <c r="U26" s="79">
        <f t="shared" si="19"/>
        <v>0</v>
      </c>
      <c r="V26" s="79">
        <f t="shared" si="18"/>
        <v>0.45808660190271699</v>
      </c>
    </row>
    <row r="27" spans="1:22">
      <c r="A27" s="1" t="s">
        <v>124</v>
      </c>
      <c r="B27">
        <v>0.99739999999999995</v>
      </c>
      <c r="C27">
        <v>0.40360000000000001</v>
      </c>
      <c r="D27">
        <v>0.91</v>
      </c>
      <c r="E27">
        <v>22</v>
      </c>
      <c r="F27">
        <v>0</v>
      </c>
      <c r="G27">
        <v>4.5999999999999996</v>
      </c>
      <c r="J27" s="79">
        <f t="shared" si="19"/>
        <v>0</v>
      </c>
      <c r="K27" s="79">
        <f t="shared" si="19"/>
        <v>0</v>
      </c>
      <c r="L27" s="79">
        <f t="shared" si="19"/>
        <v>0.75428731564092377</v>
      </c>
      <c r="M27" s="79">
        <f t="shared" si="19"/>
        <v>0.30823561186725179</v>
      </c>
      <c r="N27" s="79">
        <f t="shared" si="19"/>
        <v>0.14464729470637516</v>
      </c>
      <c r="O27" s="79">
        <f t="shared" si="19"/>
        <v>4.121463561360994E-2</v>
      </c>
      <c r="P27" s="79">
        <f t="shared" si="19"/>
        <v>6.700398266592944E-2</v>
      </c>
      <c r="Q27" s="79">
        <f t="shared" si="19"/>
        <v>0.11100236537509078</v>
      </c>
      <c r="R27" s="79">
        <f t="shared" si="19"/>
        <v>0.16907547289377034</v>
      </c>
      <c r="S27" s="79">
        <f t="shared" si="19"/>
        <v>0.28277446566095776</v>
      </c>
      <c r="T27" s="79">
        <f t="shared" si="19"/>
        <v>0.44101835361761166</v>
      </c>
      <c r="U27" s="79">
        <f t="shared" si="19"/>
        <v>0</v>
      </c>
      <c r="V27" s="79">
        <f t="shared" si="18"/>
        <v>0.14902793961677438</v>
      </c>
    </row>
    <row r="28" spans="1:22">
      <c r="A28" s="1" t="s">
        <v>112</v>
      </c>
      <c r="B28">
        <v>1.0513999999999999</v>
      </c>
      <c r="C28">
        <v>0.68859999999999999</v>
      </c>
      <c r="D28">
        <v>1.01</v>
      </c>
      <c r="E28">
        <v>8.9</v>
      </c>
      <c r="F28">
        <v>9</v>
      </c>
      <c r="G28">
        <v>4.5999999999999996</v>
      </c>
      <c r="J28" s="79">
        <f t="shared" si="19"/>
        <v>0</v>
      </c>
      <c r="K28" s="79">
        <f t="shared" si="19"/>
        <v>0</v>
      </c>
      <c r="L28" s="79">
        <f t="shared" si="19"/>
        <v>0.9134357026878509</v>
      </c>
      <c r="M28" s="79">
        <f t="shared" si="19"/>
        <v>0.4938221938496089</v>
      </c>
      <c r="N28" s="79">
        <f t="shared" si="19"/>
        <v>0.27291109807810676</v>
      </c>
      <c r="O28" s="79">
        <f t="shared" si="19"/>
        <v>0.11657105833304326</v>
      </c>
      <c r="P28" s="79">
        <f t="shared" si="19"/>
        <v>0.15672712791410959</v>
      </c>
      <c r="Q28" s="79">
        <f t="shared" si="19"/>
        <v>0.22344073586950897</v>
      </c>
      <c r="R28" s="79">
        <f t="shared" si="19"/>
        <v>0.30798106144367199</v>
      </c>
      <c r="S28" s="79">
        <f t="shared" si="19"/>
        <v>0.46162438984449727</v>
      </c>
      <c r="T28" s="79">
        <f t="shared" si="19"/>
        <v>0.64813081678657936</v>
      </c>
      <c r="U28" s="79">
        <f t="shared" si="19"/>
        <v>0</v>
      </c>
      <c r="V28" s="79">
        <f t="shared" si="18"/>
        <v>0.26682235823729783</v>
      </c>
    </row>
    <row r="29" spans="1:22">
      <c r="A29" s="1" t="s">
        <v>125</v>
      </c>
      <c r="B29">
        <v>1.0188999999999999</v>
      </c>
      <c r="C29">
        <v>0.6502</v>
      </c>
      <c r="D29">
        <v>0.86</v>
      </c>
      <c r="E29">
        <v>13</v>
      </c>
      <c r="F29">
        <v>0</v>
      </c>
      <c r="G29">
        <v>4.5999999999999996</v>
      </c>
      <c r="J29" s="79">
        <f t="shared" si="19"/>
        <v>0</v>
      </c>
      <c r="K29" s="79">
        <f t="shared" si="19"/>
        <v>0</v>
      </c>
      <c r="L29" s="79">
        <f t="shared" si="19"/>
        <v>0.90162908605369962</v>
      </c>
      <c r="M29" s="79">
        <f t="shared" si="19"/>
        <v>0.47873209269851236</v>
      </c>
      <c r="N29" s="79">
        <f t="shared" si="19"/>
        <v>0.2662056080763352</v>
      </c>
      <c r="O29" s="79">
        <f t="shared" si="19"/>
        <v>0.11805472960471175</v>
      </c>
      <c r="P29" s="79">
        <f t="shared" si="19"/>
        <v>0.15595656480574671</v>
      </c>
      <c r="Q29" s="79">
        <f t="shared" si="19"/>
        <v>0.21915054875734963</v>
      </c>
      <c r="R29" s="79">
        <f t="shared" si="19"/>
        <v>0.29967100379758727</v>
      </c>
      <c r="S29" s="79">
        <f t="shared" si="19"/>
        <v>0.44747778627444224</v>
      </c>
      <c r="T29" s="79">
        <f t="shared" si="19"/>
        <v>0.63021806987918805</v>
      </c>
      <c r="U29" s="79">
        <f t="shared" si="19"/>
        <v>0</v>
      </c>
      <c r="V29" s="79">
        <f t="shared" si="18"/>
        <v>0.26152666317541223</v>
      </c>
    </row>
    <row r="30" spans="1:22">
      <c r="A30" s="1" t="s">
        <v>113</v>
      </c>
      <c r="B30">
        <v>1.0781000000000001</v>
      </c>
      <c r="C30">
        <v>0.8952</v>
      </c>
      <c r="D30">
        <v>0.82</v>
      </c>
      <c r="E30">
        <v>5.8</v>
      </c>
      <c r="F30">
        <v>9</v>
      </c>
      <c r="G30">
        <v>4.5999999999999996</v>
      </c>
      <c r="J30" s="79">
        <f t="shared" si="19"/>
        <v>0</v>
      </c>
      <c r="K30" s="79">
        <f t="shared" si="19"/>
        <v>0</v>
      </c>
      <c r="L30" s="79">
        <f t="shared" si="19"/>
        <v>0.96021197962137983</v>
      </c>
      <c r="M30" s="79">
        <f t="shared" si="19"/>
        <v>0.60478976221113168</v>
      </c>
      <c r="N30" s="79">
        <f t="shared" si="19"/>
        <v>0.36714750579781341</v>
      </c>
      <c r="O30" s="79">
        <f t="shared" si="19"/>
        <v>0.18479977270473802</v>
      </c>
      <c r="P30" s="79">
        <f t="shared" si="19"/>
        <v>0.2326399882777167</v>
      </c>
      <c r="Q30" s="79">
        <f t="shared" si="19"/>
        <v>0.31060751878630777</v>
      </c>
      <c r="R30" s="79">
        <f t="shared" si="19"/>
        <v>0.40653996747661469</v>
      </c>
      <c r="S30" s="79">
        <f t="shared" si="19"/>
        <v>0.57180072729470832</v>
      </c>
      <c r="T30" s="79">
        <f t="shared" si="19"/>
        <v>0.7536655380980456</v>
      </c>
      <c r="U30" s="79">
        <f t="shared" si="19"/>
        <v>0</v>
      </c>
      <c r="V30" s="79">
        <f t="shared" si="18"/>
        <v>0.35167303614214102</v>
      </c>
    </row>
    <row r="31" spans="1:22">
      <c r="A31" s="1" t="s">
        <v>126</v>
      </c>
      <c r="B31">
        <v>1.0133000000000001</v>
      </c>
      <c r="C31">
        <v>0.54620000000000002</v>
      </c>
      <c r="D31">
        <v>0.88</v>
      </c>
      <c r="E31">
        <v>13</v>
      </c>
      <c r="F31">
        <v>4.5999999999999996</v>
      </c>
      <c r="G31">
        <v>4.5999999999999996</v>
      </c>
      <c r="J31" s="79">
        <f t="shared" si="19"/>
        <v>0</v>
      </c>
      <c r="K31" s="79">
        <f t="shared" si="19"/>
        <v>0</v>
      </c>
      <c r="L31" s="79">
        <f t="shared" si="19"/>
        <v>0.85752720384172987</v>
      </c>
      <c r="M31" s="79">
        <f t="shared" si="19"/>
        <v>0.42178309356466304</v>
      </c>
      <c r="N31" s="79">
        <f t="shared" si="19"/>
        <v>0.22936389631980314</v>
      </c>
      <c r="O31" s="79">
        <f t="shared" si="19"/>
        <v>0.10062301474576918</v>
      </c>
      <c r="P31" s="79">
        <f t="shared" si="19"/>
        <v>0.13320522228678933</v>
      </c>
      <c r="Q31" s="79">
        <f t="shared" si="19"/>
        <v>0.18805851111114158</v>
      </c>
      <c r="R31" s="79">
        <f t="shared" si="19"/>
        <v>0.25899755934736468</v>
      </c>
      <c r="S31" s="79">
        <f t="shared" si="19"/>
        <v>0.39279605428546516</v>
      </c>
      <c r="T31" s="79">
        <f t="shared" si="19"/>
        <v>0.56666218146232961</v>
      </c>
      <c r="U31" s="79">
        <f t="shared" si="19"/>
        <v>0</v>
      </c>
      <c r="V31" s="79">
        <f t="shared" si="18"/>
        <v>0.2285651534918321</v>
      </c>
    </row>
    <row r="32" spans="1:22">
      <c r="A32" s="1" t="s">
        <v>114</v>
      </c>
      <c r="B32">
        <v>1.0327</v>
      </c>
      <c r="C32">
        <v>0.35220000000000001</v>
      </c>
      <c r="D32">
        <v>0.78</v>
      </c>
      <c r="E32">
        <v>13</v>
      </c>
      <c r="F32">
        <v>4.5999999999999996</v>
      </c>
      <c r="G32">
        <v>4.5999999999999996</v>
      </c>
      <c r="J32" s="79">
        <f t="shared" si="19"/>
        <v>0</v>
      </c>
      <c r="K32" s="79">
        <f t="shared" si="19"/>
        <v>0</v>
      </c>
      <c r="L32" s="79">
        <f t="shared" si="19"/>
        <v>0.71040472140089839</v>
      </c>
      <c r="M32" s="79">
        <f t="shared" si="19"/>
        <v>0.28538412259385604</v>
      </c>
      <c r="N32" s="79">
        <f t="shared" si="19"/>
        <v>0.13995866775734711</v>
      </c>
      <c r="O32" s="79">
        <f t="shared" si="19"/>
        <v>4.9872753291858141E-2</v>
      </c>
      <c r="P32" s="79">
        <f t="shared" si="19"/>
        <v>7.2213091604015789E-2</v>
      </c>
      <c r="Q32" s="79">
        <f t="shared" si="19"/>
        <v>0.11051048154297394</v>
      </c>
      <c r="R32" s="79">
        <f t="shared" si="19"/>
        <v>0.16143207835280415</v>
      </c>
      <c r="S32" s="79">
        <f t="shared" si="19"/>
        <v>0.2624846544230659</v>
      </c>
      <c r="T32" s="79">
        <f t="shared" si="19"/>
        <v>0.40666500884556434</v>
      </c>
      <c r="U32" s="79">
        <f t="shared" si="19"/>
        <v>0</v>
      </c>
      <c r="V32" s="79">
        <f t="shared" si="18"/>
        <v>0.14494437438856614</v>
      </c>
    </row>
    <row r="33" spans="1:25">
      <c r="A33" s="1" t="s">
        <v>619</v>
      </c>
      <c r="B33">
        <v>1.0118</v>
      </c>
      <c r="C33">
        <v>0.44019999999999998</v>
      </c>
      <c r="D33">
        <v>0.71</v>
      </c>
      <c r="E33">
        <v>22</v>
      </c>
      <c r="F33">
        <v>0</v>
      </c>
      <c r="G33">
        <v>4.5999999999999996</v>
      </c>
      <c r="J33" s="79">
        <f>IF(+(1-$B33*EXP((-$C33*(J$14-$E33*$D33)/$B$20)))&lt;0,0,+(1-$B33*EXP((-$C33*(J$14-$E33*$D33)/$B$20))))</f>
        <v>0</v>
      </c>
      <c r="K33" s="79">
        <f t="shared" si="19"/>
        <v>0</v>
      </c>
      <c r="L33" s="79">
        <f t="shared" si="19"/>
        <v>0.78637060148326299</v>
      </c>
      <c r="M33" s="79">
        <f t="shared" si="19"/>
        <v>0.33937225728859366</v>
      </c>
      <c r="N33" s="79">
        <f t="shared" si="19"/>
        <v>0.16727095132972558</v>
      </c>
      <c r="O33" s="79">
        <f t="shared" si="19"/>
        <v>5.6861150580434616E-2</v>
      </c>
      <c r="P33" s="79">
        <f t="shared" si="19"/>
        <v>8.4496126795384319E-2</v>
      </c>
      <c r="Q33" s="79">
        <f t="shared" si="19"/>
        <v>0.13148259030548937</v>
      </c>
      <c r="R33" s="79">
        <f t="shared" si="19"/>
        <v>0.1931757817990073</v>
      </c>
      <c r="S33" s="79">
        <f t="shared" si="19"/>
        <v>0.31280836705372084</v>
      </c>
      <c r="T33" s="79">
        <f t="shared" si="19"/>
        <v>0.47639667058052559</v>
      </c>
      <c r="U33" s="79">
        <f t="shared" si="19"/>
        <v>0</v>
      </c>
      <c r="V33" s="79">
        <f t="shared" si="18"/>
        <v>0.17044697162107139</v>
      </c>
    </row>
    <row r="34" spans="1:25">
      <c r="A34" s="1" t="s">
        <v>620</v>
      </c>
      <c r="B34">
        <v>1.0328999999999999</v>
      </c>
      <c r="C34">
        <v>0.68159999999999998</v>
      </c>
      <c r="D34">
        <v>0.64</v>
      </c>
      <c r="E34">
        <v>13</v>
      </c>
      <c r="F34">
        <v>0</v>
      </c>
      <c r="G34">
        <v>4.5999999999999996</v>
      </c>
      <c r="J34" s="79">
        <f>IF(+(1-$B34*EXP((-$C34*(J$14-$E34*$D34)/$B$20)))&lt;0,0,+(1-$B34*EXP((-$C34*(J$14-$E34*$D34)/$B$20))))</f>
        <v>0</v>
      </c>
      <c r="K34" s="79">
        <f>IF(+(1-$B34*EXP((-$C34*(K$14-$E34*$D34)/$B$20)))&lt;0,0,+(1-$B34*EXP((-$C34*(K$14-$E34*$D34)/$B$20))))</f>
        <v>0</v>
      </c>
      <c r="L34" s="79">
        <f>IF(+(1-$B34*EXP((-$C34*(L$14-$E34*$D34)/$B$20)))&lt;0,0,+(1-$B34*EXP((-$C34*(L$14-$E34*$D34)/$B$20))))</f>
        <v>0.91332953154005214</v>
      </c>
      <c r="M34" s="79">
        <f>IF(+(1-$B34*EXP((-$C34*(M$14-$E34*$D34)/$B$20)))&lt;0,0,+(1-$B34*EXP((-$C34*(M$14-$E34*$D34)/$B$20))))</f>
        <v>0.50221842352302581</v>
      </c>
      <c r="N34" s="79">
        <f t="shared" si="19"/>
        <v>0.28759927588206702</v>
      </c>
      <c r="O34" s="79">
        <f t="shared" si="19"/>
        <v>0.13612955680031702</v>
      </c>
      <c r="P34" s="79">
        <f t="shared" si="19"/>
        <v>0.17500654846232899</v>
      </c>
      <c r="Q34" s="79">
        <f t="shared" si="19"/>
        <v>0.23963724080159543</v>
      </c>
      <c r="R34" s="79">
        <f t="shared" si="19"/>
        <v>0.32161995215857586</v>
      </c>
      <c r="S34" s="79">
        <f t="shared" si="19"/>
        <v>0.47088650307993385</v>
      </c>
      <c r="T34" s="79">
        <f t="shared" si="19"/>
        <v>0.65268597932986605</v>
      </c>
      <c r="U34" s="79">
        <f t="shared" si="19"/>
        <v>0</v>
      </c>
      <c r="V34" s="79">
        <f t="shared" si="18"/>
        <v>0.28141827156081223</v>
      </c>
    </row>
    <row r="35" spans="1:25">
      <c r="A35" s="1" t="s">
        <v>115</v>
      </c>
      <c r="B35">
        <v>0.97540000000000004</v>
      </c>
      <c r="C35">
        <v>0.55179999999999996</v>
      </c>
      <c r="D35">
        <v>0.92</v>
      </c>
      <c r="E35">
        <v>22</v>
      </c>
      <c r="F35">
        <v>3.2</v>
      </c>
      <c r="G35">
        <v>3.2</v>
      </c>
      <c r="J35" s="79">
        <f t="shared" si="19"/>
        <v>0</v>
      </c>
      <c r="K35" s="79">
        <f t="shared" si="19"/>
        <v>0</v>
      </c>
      <c r="L35" s="79">
        <f t="shared" si="19"/>
        <v>0.85609873353415578</v>
      </c>
      <c r="M35" s="79">
        <f t="shared" si="19"/>
        <v>0.40753766309645645</v>
      </c>
      <c r="N35" s="79">
        <f t="shared" si="19"/>
        <v>0.20804880322035613</v>
      </c>
      <c r="O35" s="79">
        <f t="shared" si="19"/>
        <v>7.4281989607019705E-2</v>
      </c>
      <c r="P35" s="79">
        <f t="shared" si="19"/>
        <v>0.10815593673473267</v>
      </c>
      <c r="Q35" s="79">
        <f t="shared" si="19"/>
        <v>0.16515416561237373</v>
      </c>
      <c r="R35" s="79">
        <f t="shared" si="19"/>
        <v>0.2388081904840007</v>
      </c>
      <c r="S35" s="79">
        <f t="shared" si="19"/>
        <v>0.37752437231906277</v>
      </c>
      <c r="T35" s="79">
        <f t="shared" si="19"/>
        <v>0.55729720526428261</v>
      </c>
      <c r="U35" s="79">
        <f t="shared" si="19"/>
        <v>0</v>
      </c>
      <c r="V35" s="79">
        <f t="shared" si="18"/>
        <v>0.20769620507487163</v>
      </c>
    </row>
    <row r="36" spans="1:25">
      <c r="A36" s="1" t="s">
        <v>116</v>
      </c>
      <c r="B36">
        <v>1.0170999999999999</v>
      </c>
      <c r="C36">
        <v>0.88519999999999999</v>
      </c>
      <c r="D36">
        <v>0.85</v>
      </c>
      <c r="E36">
        <v>13</v>
      </c>
      <c r="F36">
        <v>3.2</v>
      </c>
      <c r="G36">
        <v>3.2</v>
      </c>
      <c r="J36" s="79">
        <f t="shared" si="19"/>
        <v>0</v>
      </c>
      <c r="K36" s="79">
        <f t="shared" si="19"/>
        <v>0</v>
      </c>
      <c r="L36" s="79">
        <f t="shared" si="19"/>
        <v>0.95788348925576006</v>
      </c>
      <c r="M36" s="79">
        <f t="shared" si="19"/>
        <v>0.5922535252830865</v>
      </c>
      <c r="N36" s="79">
        <f t="shared" si="19"/>
        <v>0.35049812978270467</v>
      </c>
      <c r="O36" s="79">
        <f t="shared" si="19"/>
        <v>0.16571611850484569</v>
      </c>
      <c r="P36" s="79">
        <f t="shared" si="19"/>
        <v>0.21414553651926915</v>
      </c>
      <c r="Q36" s="79">
        <f t="shared" si="19"/>
        <v>0.29314667636213976</v>
      </c>
      <c r="R36" s="79">
        <f t="shared" si="19"/>
        <v>0.39048952859556796</v>
      </c>
      <c r="S36" s="79">
        <f t="shared" si="19"/>
        <v>0.55861353062180452</v>
      </c>
      <c r="T36" s="79">
        <f t="shared" si="19"/>
        <v>0.74450607515359057</v>
      </c>
      <c r="U36" s="79">
        <f t="shared" si="19"/>
        <v>0</v>
      </c>
      <c r="V36" s="79">
        <f t="shared" si="18"/>
        <v>0.33561498735595369</v>
      </c>
    </row>
    <row r="37" spans="1:25">
      <c r="A37" s="1" t="s">
        <v>117</v>
      </c>
      <c r="B37">
        <v>1.0672999999999999</v>
      </c>
      <c r="C37">
        <v>1.0086999999999999</v>
      </c>
      <c r="D37">
        <v>0.95</v>
      </c>
      <c r="E37">
        <v>8.9</v>
      </c>
      <c r="F37">
        <v>9</v>
      </c>
      <c r="G37">
        <v>3.2</v>
      </c>
      <c r="J37" s="79">
        <f t="shared" si="19"/>
        <v>0</v>
      </c>
      <c r="K37" s="79">
        <f t="shared" si="19"/>
        <v>0</v>
      </c>
      <c r="L37" s="79">
        <f t="shared" si="19"/>
        <v>0.9726808201625804</v>
      </c>
      <c r="M37" s="79">
        <f t="shared" si="19"/>
        <v>0.63695531986844889</v>
      </c>
      <c r="N37" s="79">
        <f t="shared" si="19"/>
        <v>0.38289490128702952</v>
      </c>
      <c r="O37" s="79">
        <f t="shared" si="19"/>
        <v>0.17915210079007959</v>
      </c>
      <c r="P37" s="79">
        <f t="shared" si="19"/>
        <v>0.23322582446784301</v>
      </c>
      <c r="Q37" s="79">
        <f t="shared" si="19"/>
        <v>0.32042857267532532</v>
      </c>
      <c r="R37" s="79">
        <f t="shared" si="19"/>
        <v>0.42600335823583602</v>
      </c>
      <c r="S37" s="79">
        <f t="shared" si="19"/>
        <v>0.60263257351823896</v>
      </c>
      <c r="T37" s="79">
        <f t="shared" si="19"/>
        <v>0.78687850817448002</v>
      </c>
      <c r="U37" s="79">
        <f t="shared" si="19"/>
        <v>0</v>
      </c>
      <c r="V37" s="79">
        <f t="shared" si="18"/>
        <v>0.36241893226116523</v>
      </c>
    </row>
    <row r="38" spans="1:25">
      <c r="A38" s="1" t="s">
        <v>178</v>
      </c>
      <c r="B38">
        <v>1.1028</v>
      </c>
      <c r="C38">
        <v>1.1811</v>
      </c>
      <c r="D38">
        <v>0.74</v>
      </c>
      <c r="E38">
        <v>5.8</v>
      </c>
      <c r="F38">
        <v>9</v>
      </c>
      <c r="G38">
        <v>3.2</v>
      </c>
      <c r="J38" s="79">
        <f t="shared" si="19"/>
        <v>0</v>
      </c>
      <c r="K38" s="79">
        <f t="shared" si="19"/>
        <v>0</v>
      </c>
      <c r="L38" s="79">
        <f t="shared" si="19"/>
        <v>0.98591945780049228</v>
      </c>
      <c r="M38" s="79">
        <f t="shared" si="19"/>
        <v>0.70884026055046334</v>
      </c>
      <c r="N38" s="79">
        <f t="shared" si="19"/>
        <v>0.45811318171743665</v>
      </c>
      <c r="O38" s="79">
        <f t="shared" si="19"/>
        <v>0.2431864858306082</v>
      </c>
      <c r="P38" s="79">
        <f t="shared" si="19"/>
        <v>0.30122806041917527</v>
      </c>
      <c r="Q38" s="79">
        <f t="shared" si="19"/>
        <v>0.39334509465364687</v>
      </c>
      <c r="R38" s="79">
        <f t="shared" si="19"/>
        <v>0.50216706478806028</v>
      </c>
      <c r="S38" s="79">
        <f t="shared" si="19"/>
        <v>0.67635507492535363</v>
      </c>
      <c r="T38" s="79">
        <f t="shared" si="19"/>
        <v>0.84395110727359801</v>
      </c>
      <c r="U38" s="79">
        <f t="shared" si="19"/>
        <v>0</v>
      </c>
      <c r="V38" s="79">
        <f t="shared" si="18"/>
        <v>0.43000837305756257</v>
      </c>
    </row>
    <row r="39" spans="1:25">
      <c r="A39" s="1" t="s">
        <v>119</v>
      </c>
      <c r="B39" s="81">
        <v>0.96889999999999998</v>
      </c>
      <c r="C39">
        <v>0.46850000000000003</v>
      </c>
      <c r="D39">
        <v>0.82</v>
      </c>
      <c r="E39">
        <v>19.3</v>
      </c>
      <c r="F39">
        <v>0</v>
      </c>
      <c r="G39">
        <v>1.8</v>
      </c>
      <c r="J39" s="79">
        <f t="shared" si="19"/>
        <v>0</v>
      </c>
      <c r="K39" s="79">
        <f t="shared" si="19"/>
        <v>0</v>
      </c>
      <c r="L39" s="79">
        <f t="shared" si="19"/>
        <v>0.8146420825299493</v>
      </c>
      <c r="M39" s="79">
        <f t="shared" si="19"/>
        <v>0.38364980511511748</v>
      </c>
      <c r="N39" s="79">
        <f t="shared" si="19"/>
        <v>0.21143317801856276</v>
      </c>
      <c r="O39" s="79">
        <f t="shared" si="19"/>
        <v>9.9701248349530425E-2</v>
      </c>
      <c r="P39" s="79">
        <f t="shared" si="19"/>
        <v>0.12775019969099854</v>
      </c>
      <c r="Q39" s="79">
        <f t="shared" si="19"/>
        <v>0.17531483325337438</v>
      </c>
      <c r="R39" s="79">
        <f t="shared" si="19"/>
        <v>0.23751490350504945</v>
      </c>
      <c r="S39" s="79">
        <f t="shared" si="19"/>
        <v>0.35723934037154459</v>
      </c>
      <c r="T39" s="79">
        <f t="shared" si="19"/>
        <v>0.51873655504047167</v>
      </c>
      <c r="U39" s="79">
        <f t="shared" si="19"/>
        <v>0</v>
      </c>
      <c r="V39" s="79">
        <f t="shared" si="18"/>
        <v>0.21280456042385754</v>
      </c>
    </row>
    <row r="40" spans="1:25">
      <c r="A40" s="1" t="s">
        <v>120</v>
      </c>
      <c r="B40" s="81">
        <v>0.9395</v>
      </c>
      <c r="C40">
        <v>0.33629999999999999</v>
      </c>
      <c r="D40">
        <v>0.95</v>
      </c>
      <c r="E40">
        <v>19.3</v>
      </c>
      <c r="F40">
        <v>0</v>
      </c>
      <c r="G40">
        <v>1.8</v>
      </c>
      <c r="J40" s="79">
        <f t="shared" si="19"/>
        <v>0</v>
      </c>
      <c r="K40" s="79">
        <f t="shared" si="19"/>
        <v>0</v>
      </c>
      <c r="L40" s="79">
        <f t="shared" si="19"/>
        <v>0.70996177215648737</v>
      </c>
      <c r="M40" s="79">
        <f t="shared" si="19"/>
        <v>0.31288889157745348</v>
      </c>
      <c r="N40" s="79">
        <f t="shared" si="19"/>
        <v>0.17994707301755464</v>
      </c>
      <c r="O40" s="79">
        <f t="shared" si="19"/>
        <v>9.8114805573417008E-2</v>
      </c>
      <c r="P40" s="79">
        <f t="shared" si="19"/>
        <v>0.11837432292490979</v>
      </c>
      <c r="Q40" s="79">
        <f t="shared" si="19"/>
        <v>0.15315620570558486</v>
      </c>
      <c r="R40" s="79">
        <f t="shared" si="19"/>
        <v>0.19950883418360155</v>
      </c>
      <c r="S40" s="79">
        <f t="shared" si="19"/>
        <v>0.29187984103352338</v>
      </c>
      <c r="T40" s="79">
        <f t="shared" si="19"/>
        <v>0.4246915705679124</v>
      </c>
      <c r="U40" s="79">
        <f t="shared" si="19"/>
        <v>0</v>
      </c>
      <c r="V40" s="79">
        <f t="shared" si="18"/>
        <v>0.18374470636984913</v>
      </c>
    </row>
    <row r="41" spans="1:25">
      <c r="A41" s="1" t="s">
        <v>127</v>
      </c>
      <c r="B41" s="81">
        <v>1.0411999999999999</v>
      </c>
      <c r="C41">
        <v>0.92810000000000004</v>
      </c>
      <c r="D41">
        <v>0.78</v>
      </c>
      <c r="E41">
        <v>10</v>
      </c>
      <c r="F41">
        <v>9</v>
      </c>
      <c r="G41">
        <v>1.8</v>
      </c>
      <c r="J41" s="79">
        <f t="shared" si="19"/>
        <v>0</v>
      </c>
      <c r="K41" s="79">
        <f t="shared" si="19"/>
        <v>0</v>
      </c>
      <c r="L41" s="79">
        <f t="shared" si="19"/>
        <v>0.964583897810246</v>
      </c>
      <c r="M41" s="79">
        <f t="shared" si="19"/>
        <v>0.61724514013235177</v>
      </c>
      <c r="N41" s="79">
        <f t="shared" si="19"/>
        <v>0.37639473371443033</v>
      </c>
      <c r="O41" s="79">
        <f t="shared" si="19"/>
        <v>0.18920168385927494</v>
      </c>
      <c r="P41" s="79">
        <f t="shared" si="19"/>
        <v>0.23847805127556332</v>
      </c>
      <c r="Q41" s="79">
        <f t="shared" si="19"/>
        <v>0.31854111651868888</v>
      </c>
      <c r="R41" s="79">
        <f t="shared" si="19"/>
        <v>0.41659119354872742</v>
      </c>
      <c r="S41" s="79">
        <f t="shared" si="19"/>
        <v>0.58407209456079867</v>
      </c>
      <c r="T41" s="79">
        <f t="shared" si="19"/>
        <v>0.76553798452187827</v>
      </c>
      <c r="U41" s="79">
        <f t="shared" si="19"/>
        <v>0</v>
      </c>
      <c r="V41" s="79">
        <f t="shared" si="18"/>
        <v>0.35947059001055059</v>
      </c>
    </row>
    <row r="42" spans="1:25">
      <c r="A42" s="1" t="s">
        <v>179</v>
      </c>
      <c r="B42" s="81">
        <v>1.0468</v>
      </c>
      <c r="C42">
        <v>0.90539999999999998</v>
      </c>
      <c r="D42">
        <v>0.76</v>
      </c>
      <c r="E42">
        <v>10.8</v>
      </c>
      <c r="F42">
        <v>9</v>
      </c>
      <c r="G42">
        <v>1.8</v>
      </c>
      <c r="J42" s="79">
        <f t="shared" ref="J42:U42" si="20">IF(+(1-$B42*EXP((-$C42*(J$14-$E42*$D42)/$B$20)))&lt;0,0,+(1-$B42*EXP((-$C42*(J$14-$E42*$D42)/$B$20))))</f>
        <v>0</v>
      </c>
      <c r="K42" s="79">
        <f t="shared" si="20"/>
        <v>0</v>
      </c>
      <c r="L42" s="79">
        <f t="shared" si="20"/>
        <v>0.96112259976769732</v>
      </c>
      <c r="M42" s="79">
        <f t="shared" si="20"/>
        <v>0.60359980995513485</v>
      </c>
      <c r="N42" s="79">
        <f t="shared" si="20"/>
        <v>0.36182767753546163</v>
      </c>
      <c r="O42" s="79">
        <f t="shared" si="20"/>
        <v>0.17557210716491634</v>
      </c>
      <c r="P42" s="79">
        <f t="shared" si="20"/>
        <v>0.22448843109747463</v>
      </c>
      <c r="Q42" s="79">
        <f t="shared" si="20"/>
        <v>0.30413424855217952</v>
      </c>
      <c r="R42" s="79">
        <f t="shared" si="20"/>
        <v>0.40198934250795859</v>
      </c>
      <c r="S42" s="79">
        <f t="shared" si="20"/>
        <v>0.57011894118853079</v>
      </c>
      <c r="T42" s="79">
        <f t="shared" si="20"/>
        <v>0.75425109146309621</v>
      </c>
      <c r="U42" s="79">
        <f t="shared" si="20"/>
        <v>0</v>
      </c>
      <c r="V42" s="79">
        <f t="shared" si="18"/>
        <v>0.34598539353401175</v>
      </c>
    </row>
    <row r="43" spans="1:25">
      <c r="A43" s="1"/>
      <c r="B43" s="81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</row>
    <row r="44" spans="1:25">
      <c r="A44" s="1"/>
      <c r="B44" s="81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</row>
    <row r="45" spans="1:25">
      <c r="A45" s="1" t="s">
        <v>259</v>
      </c>
      <c r="B45" s="81"/>
      <c r="J45" s="79"/>
      <c r="K45" s="79"/>
      <c r="L45" s="79"/>
      <c r="M45" s="79"/>
      <c r="N45" s="79"/>
      <c r="O45" s="79"/>
      <c r="R45" s="93" t="s">
        <v>260</v>
      </c>
      <c r="S45" s="93"/>
      <c r="T45" s="93"/>
      <c r="U45" s="93"/>
      <c r="V45" s="93"/>
      <c r="W45" s="93"/>
    </row>
    <row r="46" spans="1:25">
      <c r="A46" s="492" t="s">
        <v>634</v>
      </c>
      <c r="B46" s="81"/>
      <c r="J46" s="79"/>
      <c r="K46" s="79"/>
      <c r="L46" s="79"/>
      <c r="M46" s="79"/>
      <c r="N46" s="79"/>
      <c r="O46" s="79"/>
      <c r="R46" s="93"/>
      <c r="S46" s="93"/>
      <c r="T46" s="93"/>
      <c r="U46" s="93"/>
      <c r="V46" s="93"/>
      <c r="W46" s="93"/>
    </row>
    <row r="47" spans="1:25">
      <c r="A47" s="1" t="s">
        <v>160</v>
      </c>
      <c r="O47" s="79"/>
      <c r="R47" s="93" t="s">
        <v>261</v>
      </c>
      <c r="S47" s="93" t="s">
        <v>262</v>
      </c>
      <c r="T47" t="s">
        <v>267</v>
      </c>
      <c r="U47" s="93" t="s">
        <v>263</v>
      </c>
      <c r="V47" s="93" t="s">
        <v>264</v>
      </c>
      <c r="W47" t="s">
        <v>268</v>
      </c>
      <c r="X47" s="93" t="s">
        <v>265</v>
      </c>
      <c r="Y47" s="93" t="s">
        <v>266</v>
      </c>
    </row>
    <row r="48" spans="1:25">
      <c r="A48" s="1" t="s">
        <v>161</v>
      </c>
      <c r="B48" s="1">
        <v>1</v>
      </c>
      <c r="C48" s="1">
        <v>2</v>
      </c>
      <c r="D48" s="1">
        <v>3</v>
      </c>
      <c r="E48" s="1">
        <v>4</v>
      </c>
      <c r="F48" s="1">
        <v>5</v>
      </c>
      <c r="G48" s="1">
        <v>6</v>
      </c>
      <c r="H48" s="1">
        <v>7</v>
      </c>
      <c r="I48" s="1">
        <v>8</v>
      </c>
      <c r="J48" s="1">
        <v>9</v>
      </c>
      <c r="K48" s="1">
        <v>10</v>
      </c>
      <c r="L48" s="1">
        <v>11</v>
      </c>
      <c r="M48" s="1">
        <v>12</v>
      </c>
      <c r="O48" s="79"/>
      <c r="R48" s="79"/>
      <c r="S48" s="79"/>
      <c r="U48" s="79"/>
      <c r="V48" s="79"/>
      <c r="X48" s="79"/>
      <c r="Y48" s="79"/>
    </row>
    <row r="49" spans="1:25">
      <c r="A49" s="1" t="s">
        <v>162</v>
      </c>
      <c r="B49">
        <v>24.9</v>
      </c>
      <c r="C49">
        <v>33.700000000000003</v>
      </c>
      <c r="D49">
        <v>53.6</v>
      </c>
      <c r="E49">
        <v>118.5</v>
      </c>
      <c r="F49">
        <v>196.8</v>
      </c>
      <c r="G49">
        <v>294.3</v>
      </c>
      <c r="H49">
        <v>342.3</v>
      </c>
      <c r="I49">
        <v>267.7</v>
      </c>
      <c r="J49">
        <v>204.8</v>
      </c>
      <c r="K49">
        <v>129.1</v>
      </c>
      <c r="L49">
        <v>75.2</v>
      </c>
      <c r="M49">
        <v>35.9</v>
      </c>
      <c r="N49">
        <v>1776</v>
      </c>
      <c r="O49" s="79"/>
      <c r="P49" s="492" t="s">
        <v>634</v>
      </c>
      <c r="Q49" s="245"/>
      <c r="R49" s="495">
        <v>36.700000000000003</v>
      </c>
      <c r="S49" s="495">
        <v>28.7</v>
      </c>
      <c r="T49" s="245">
        <f t="shared" ref="T49:T56" si="21">+(R49+S49)/2</f>
        <v>32.700000000000003</v>
      </c>
      <c r="U49" s="245">
        <v>21.6</v>
      </c>
      <c r="V49" s="495">
        <v>14.6</v>
      </c>
      <c r="W49" s="245">
        <f t="shared" ref="W49:W56" si="22">+(V49+U49)/2</f>
        <v>18.100000000000001</v>
      </c>
      <c r="X49" s="495">
        <v>29</v>
      </c>
      <c r="Y49" s="495">
        <v>19</v>
      </c>
    </row>
    <row r="50" spans="1:25">
      <c r="A50" s="1"/>
      <c r="O50" s="79"/>
      <c r="P50" s="493" t="s">
        <v>635</v>
      </c>
      <c r="Q50" s="494"/>
      <c r="R50" s="245">
        <v>36.9</v>
      </c>
      <c r="S50" s="245">
        <v>28.6</v>
      </c>
      <c r="T50" s="245">
        <f t="shared" si="21"/>
        <v>32.75</v>
      </c>
      <c r="U50" s="245">
        <v>24.7</v>
      </c>
      <c r="V50" s="245">
        <v>20.8</v>
      </c>
      <c r="W50" s="245">
        <f t="shared" si="22"/>
        <v>22.75</v>
      </c>
      <c r="X50" s="245">
        <v>28.8</v>
      </c>
      <c r="Y50" s="495">
        <v>15</v>
      </c>
    </row>
    <row r="51" spans="1:25">
      <c r="A51" s="1" t="s">
        <v>163</v>
      </c>
      <c r="B51" s="1" t="s">
        <v>164</v>
      </c>
      <c r="O51" s="79"/>
      <c r="P51" s="493" t="s">
        <v>636</v>
      </c>
      <c r="Q51" s="494"/>
      <c r="R51" s="245">
        <v>40.5</v>
      </c>
      <c r="S51" s="245">
        <v>31.1</v>
      </c>
      <c r="T51" s="245">
        <f t="shared" si="21"/>
        <v>35.799999999999997</v>
      </c>
      <c r="U51" s="245">
        <v>24.9</v>
      </c>
      <c r="V51" s="245">
        <v>18.7</v>
      </c>
      <c r="W51" s="245">
        <f t="shared" si="22"/>
        <v>21.799999999999997</v>
      </c>
      <c r="X51" s="245">
        <v>28.9</v>
      </c>
      <c r="Y51" s="245">
        <v>13</v>
      </c>
    </row>
    <row r="52" spans="1:25">
      <c r="A52" s="1" t="s">
        <v>165</v>
      </c>
      <c r="B52">
        <f t="shared" ref="B52:M52" si="23">+B58*0.0204433</f>
        <v>0</v>
      </c>
      <c r="C52">
        <f t="shared" si="23"/>
        <v>6.6047170654223546</v>
      </c>
      <c r="D52">
        <f t="shared" si="23"/>
        <v>4.9948710800384593</v>
      </c>
      <c r="E52">
        <f t="shared" si="23"/>
        <v>2.285363680352936</v>
      </c>
      <c r="F52">
        <f t="shared" si="23"/>
        <v>1.4419263576914934</v>
      </c>
      <c r="G52">
        <f t="shared" si="23"/>
        <v>0.70326005683926862</v>
      </c>
      <c r="H52">
        <f t="shared" si="23"/>
        <v>0.71687017517729534</v>
      </c>
      <c r="I52">
        <f t="shared" si="23"/>
        <v>0.98659148941129615</v>
      </c>
      <c r="J52">
        <f t="shared" si="23"/>
        <v>1.275121862990785</v>
      </c>
      <c r="K52">
        <f t="shared" si="23"/>
        <v>1.8838932338150838</v>
      </c>
      <c r="L52">
        <f t="shared" si="23"/>
        <v>2.7539530947254347</v>
      </c>
      <c r="M52">
        <f t="shared" si="23"/>
        <v>5.657971516758284</v>
      </c>
      <c r="O52" s="79"/>
      <c r="P52" s="493" t="s">
        <v>637</v>
      </c>
      <c r="Q52" s="494"/>
      <c r="R52" s="245">
        <v>40.6</v>
      </c>
      <c r="S52" s="245">
        <v>30.3</v>
      </c>
      <c r="T52" s="245">
        <f t="shared" si="21"/>
        <v>35.450000000000003</v>
      </c>
      <c r="U52" s="245">
        <v>23</v>
      </c>
      <c r="V52" s="245">
        <v>16.8</v>
      </c>
      <c r="W52" s="245">
        <f t="shared" si="22"/>
        <v>19.899999999999999</v>
      </c>
      <c r="X52" s="245">
        <v>29.3</v>
      </c>
      <c r="Y52" s="293">
        <v>15</v>
      </c>
    </row>
    <row r="53" spans="1:25">
      <c r="A53" s="1" t="s">
        <v>166</v>
      </c>
      <c r="B53">
        <f t="shared" ref="B53:M53" si="24">+B59*0.0204433</f>
        <v>0</v>
      </c>
      <c r="C53">
        <f t="shared" si="24"/>
        <v>4.3474672106116845</v>
      </c>
      <c r="D53">
        <f t="shared" si="24"/>
        <v>3.5459010189442837</v>
      </c>
      <c r="E53">
        <f t="shared" si="24"/>
        <v>1.6974219679113933</v>
      </c>
      <c r="F53">
        <f t="shared" si="24"/>
        <v>1.0864771394133133</v>
      </c>
      <c r="G53">
        <f t="shared" si="24"/>
        <v>0.54432521835000769</v>
      </c>
      <c r="H53">
        <f t="shared" si="24"/>
        <v>0.54829521051452379</v>
      </c>
      <c r="I53">
        <f t="shared" si="24"/>
        <v>0.74428312652850892</v>
      </c>
      <c r="J53">
        <f t="shared" si="24"/>
        <v>0.92673623701074614</v>
      </c>
      <c r="K53">
        <f t="shared" si="24"/>
        <v>1.2941503290881486</v>
      </c>
      <c r="L53">
        <f t="shared" si="24"/>
        <v>1.7905103574947825</v>
      </c>
      <c r="M53">
        <f t="shared" si="24"/>
        <v>3.5874117872592186</v>
      </c>
      <c r="O53" s="79"/>
      <c r="P53" s="493" t="s">
        <v>638</v>
      </c>
      <c r="Q53" s="494"/>
      <c r="R53" s="245">
        <v>37.200000000000003</v>
      </c>
      <c r="S53" s="245">
        <v>25.9</v>
      </c>
      <c r="T53" s="245">
        <f t="shared" si="21"/>
        <v>31.55</v>
      </c>
      <c r="U53" s="245">
        <v>20.5</v>
      </c>
      <c r="V53" s="245">
        <v>14.3</v>
      </c>
      <c r="W53" s="245">
        <f t="shared" si="22"/>
        <v>17.399999999999999</v>
      </c>
      <c r="X53" s="245">
        <v>28.7</v>
      </c>
      <c r="Y53" s="293">
        <v>18</v>
      </c>
    </row>
    <row r="54" spans="1:25">
      <c r="A54" s="1" t="s">
        <v>167</v>
      </c>
      <c r="B54">
        <f t="shared" ref="B54:M54" si="25">+B60*0.0204433</f>
        <v>0</v>
      </c>
      <c r="C54">
        <f t="shared" si="25"/>
        <v>6.6533834016938878</v>
      </c>
      <c r="D54">
        <f t="shared" si="25"/>
        <v>5.0316753932597953</v>
      </c>
      <c r="E54">
        <f t="shared" si="25"/>
        <v>2.302203202208168</v>
      </c>
      <c r="F54">
        <f t="shared" si="25"/>
        <v>1.4525510782218518</v>
      </c>
      <c r="G54">
        <f t="shared" si="25"/>
        <v>0.70844197304755785</v>
      </c>
      <c r="H54">
        <f t="shared" si="25"/>
        <v>0.72215237646807529</v>
      </c>
      <c r="I54">
        <f t="shared" si="25"/>
        <v>0.99386111091222162</v>
      </c>
      <c r="J54">
        <f t="shared" si="25"/>
        <v>1.284517497770717</v>
      </c>
      <c r="K54">
        <f t="shared" si="25"/>
        <v>1.8977745523800369</v>
      </c>
      <c r="L54">
        <f t="shared" si="25"/>
        <v>2.7742453806865699</v>
      </c>
      <c r="M54">
        <f t="shared" si="25"/>
        <v>5.6996618331975561</v>
      </c>
      <c r="O54" s="79"/>
      <c r="P54" s="493" t="s">
        <v>639</v>
      </c>
      <c r="Q54" s="494"/>
      <c r="R54" s="245">
        <v>41.7</v>
      </c>
      <c r="S54" s="245">
        <v>31.8</v>
      </c>
      <c r="T54" s="245">
        <f t="shared" si="21"/>
        <v>36.75</v>
      </c>
      <c r="U54" s="245">
        <v>24</v>
      </c>
      <c r="V54" s="245">
        <v>16.7</v>
      </c>
      <c r="W54" s="245">
        <f t="shared" si="22"/>
        <v>20.350000000000001</v>
      </c>
      <c r="X54" s="245">
        <v>29.3</v>
      </c>
      <c r="Y54" s="293">
        <v>15</v>
      </c>
    </row>
    <row r="55" spans="1:25">
      <c r="A55" s="1" t="s">
        <v>168</v>
      </c>
      <c r="B55">
        <f t="shared" ref="B55:M55" si="26">+B61*0.0204433</f>
        <v>0</v>
      </c>
      <c r="C55">
        <f t="shared" si="26"/>
        <v>4.2851060006234025</v>
      </c>
      <c r="D55">
        <f t="shared" si="26"/>
        <v>3.4950376846561482</v>
      </c>
      <c r="E55">
        <f t="shared" si="26"/>
        <v>1.6730737019782378</v>
      </c>
      <c r="F55">
        <f t="shared" si="26"/>
        <v>1.0708924263479584</v>
      </c>
      <c r="G55">
        <f t="shared" si="26"/>
        <v>0.53651727464416732</v>
      </c>
      <c r="H55">
        <f t="shared" si="26"/>
        <v>0.54043032019976633</v>
      </c>
      <c r="I55">
        <f t="shared" si="26"/>
        <v>0.73360693413978029</v>
      </c>
      <c r="J55">
        <f t="shared" si="26"/>
        <v>0.91344288934870665</v>
      </c>
      <c r="K55">
        <f t="shared" si="26"/>
        <v>1.2755866973184415</v>
      </c>
      <c r="L55">
        <f t="shared" si="26"/>
        <v>1.7648268072848163</v>
      </c>
      <c r="M55">
        <f t="shared" si="26"/>
        <v>3.5359530116223028</v>
      </c>
      <c r="O55" s="79"/>
      <c r="P55" s="493" t="s">
        <v>640</v>
      </c>
      <c r="Q55" s="494"/>
      <c r="R55" s="245">
        <v>40.299999999999997</v>
      </c>
      <c r="S55" s="245">
        <v>32.799999999999997</v>
      </c>
      <c r="T55" s="245">
        <f t="shared" si="21"/>
        <v>36.549999999999997</v>
      </c>
      <c r="U55" s="245">
        <v>25.7</v>
      </c>
      <c r="V55" s="245">
        <v>19.3</v>
      </c>
      <c r="W55" s="245">
        <f t="shared" si="22"/>
        <v>22.5</v>
      </c>
      <c r="X55" s="245">
        <v>29</v>
      </c>
      <c r="Y55" s="245">
        <v>19</v>
      </c>
    </row>
    <row r="56" spans="1:25">
      <c r="A56" s="1"/>
      <c r="O56" s="79"/>
      <c r="P56" s="492" t="s">
        <v>641</v>
      </c>
      <c r="Q56" s="494"/>
      <c r="R56" s="245">
        <v>41</v>
      </c>
      <c r="S56" s="245">
        <v>32.299999999999997</v>
      </c>
      <c r="T56" s="245">
        <f t="shared" si="21"/>
        <v>36.65</v>
      </c>
      <c r="U56" s="245">
        <v>25.8</v>
      </c>
      <c r="V56" s="245">
        <v>19.5</v>
      </c>
      <c r="W56" s="245">
        <f t="shared" si="22"/>
        <v>22.65</v>
      </c>
      <c r="X56" s="245">
        <v>28.9</v>
      </c>
      <c r="Y56" s="245">
        <v>18</v>
      </c>
    </row>
    <row r="57" spans="1:25">
      <c r="A57" s="1" t="s">
        <v>163</v>
      </c>
      <c r="B57" s="1" t="s">
        <v>169</v>
      </c>
      <c r="O57" s="79"/>
      <c r="P57" s="79"/>
      <c r="Q57" s="79"/>
      <c r="R57" s="79"/>
      <c r="S57" s="79"/>
      <c r="T57" s="79"/>
      <c r="U57" s="79"/>
      <c r="V57" s="79"/>
    </row>
    <row r="58" spans="1:25">
      <c r="A58" s="1" t="s">
        <v>165</v>
      </c>
      <c r="B58" s="78">
        <v>0</v>
      </c>
      <c r="C58">
        <v>323.07489815354438</v>
      </c>
      <c r="D58">
        <v>244.32802336405859</v>
      </c>
      <c r="E58">
        <v>111.79035089016625</v>
      </c>
      <c r="F58">
        <v>70.532954938365791</v>
      </c>
      <c r="G58">
        <v>34.400515417729459</v>
      </c>
      <c r="H58">
        <v>35.066264995245156</v>
      </c>
      <c r="I58">
        <v>48.259893921788368</v>
      </c>
      <c r="J58">
        <v>62.373582689232407</v>
      </c>
      <c r="K58">
        <v>92.15211016886137</v>
      </c>
      <c r="L58">
        <v>134.71176838990939</v>
      </c>
      <c r="M58">
        <v>276.76409957092466</v>
      </c>
      <c r="O58" s="79"/>
      <c r="P58" s="79"/>
      <c r="Q58" s="79"/>
      <c r="R58" s="79"/>
      <c r="S58" s="79"/>
      <c r="T58" s="79"/>
      <c r="U58" s="79"/>
      <c r="V58" s="79"/>
    </row>
    <row r="59" spans="1:25">
      <c r="A59" s="1" t="s">
        <v>166</v>
      </c>
      <c r="B59" s="78">
        <v>0</v>
      </c>
      <c r="C59">
        <v>212.65975701631754</v>
      </c>
      <c r="D59">
        <v>173.45052016769716</v>
      </c>
      <c r="E59">
        <v>83.030722432845636</v>
      </c>
      <c r="F59">
        <v>53.145878572114739</v>
      </c>
      <c r="G59">
        <v>26.626093553878661</v>
      </c>
      <c r="H59">
        <v>26.820288823943478</v>
      </c>
      <c r="I59">
        <v>36.407190939256814</v>
      </c>
      <c r="J59">
        <v>45.332027461845499</v>
      </c>
      <c r="K59">
        <v>63.304374982911206</v>
      </c>
      <c r="L59">
        <v>87.584213776385539</v>
      </c>
      <c r="M59">
        <v>175.48105184873373</v>
      </c>
      <c r="O59" s="79"/>
      <c r="P59" s="79"/>
      <c r="Q59" s="79"/>
      <c r="R59" s="79"/>
      <c r="S59" s="79"/>
      <c r="T59" s="79"/>
      <c r="U59" s="79"/>
      <c r="V59" s="79"/>
    </row>
    <row r="60" spans="1:25">
      <c r="A60" s="1" t="s">
        <v>167</v>
      </c>
      <c r="B60" s="78">
        <v>0</v>
      </c>
      <c r="C60">
        <v>325.45545003467578</v>
      </c>
      <c r="D60">
        <v>246.1283351151622</v>
      </c>
      <c r="E60">
        <v>112.61406926514641</v>
      </c>
      <c r="F60">
        <v>71.052671448437962</v>
      </c>
      <c r="G60">
        <v>34.653992899754826</v>
      </c>
      <c r="H60">
        <v>35.324648000473275</v>
      </c>
      <c r="I60">
        <v>48.615493140159444</v>
      </c>
      <c r="J60">
        <v>62.8331775090478</v>
      </c>
      <c r="K60">
        <v>92.831125717474023</v>
      </c>
      <c r="L60">
        <v>135.70438142015084</v>
      </c>
      <c r="M60">
        <v>278.80341398881569</v>
      </c>
      <c r="O60" s="79"/>
      <c r="P60" s="79"/>
      <c r="Q60" s="79"/>
      <c r="R60" s="79"/>
      <c r="S60" s="79"/>
      <c r="T60" s="79"/>
      <c r="U60" s="79"/>
      <c r="V60" s="79"/>
    </row>
    <row r="61" spans="1:25">
      <c r="A61" s="1" t="s">
        <v>168</v>
      </c>
      <c r="B61" s="78">
        <v>0</v>
      </c>
      <c r="C61">
        <v>209.60930968206708</v>
      </c>
      <c r="D61">
        <v>170.9625004111933</v>
      </c>
      <c r="E61">
        <v>81.839707971718738</v>
      </c>
      <c r="F61">
        <v>52.383540149973747</v>
      </c>
      <c r="G61">
        <v>26.244161884048431</v>
      </c>
      <c r="H61">
        <v>26.435571566222983</v>
      </c>
      <c r="I61">
        <v>35.884956642996983</v>
      </c>
      <c r="J61">
        <v>44.681772969564925</v>
      </c>
      <c r="K61">
        <v>62.396320423730096</v>
      </c>
      <c r="L61">
        <v>86.327882841068529</v>
      </c>
      <c r="M61">
        <v>172.96390561319859</v>
      </c>
      <c r="O61" s="79"/>
      <c r="P61" s="79"/>
      <c r="Q61" s="79"/>
      <c r="R61" s="79"/>
      <c r="S61" s="79"/>
      <c r="T61" s="79"/>
      <c r="U61" s="79"/>
      <c r="V61" s="79"/>
    </row>
    <row r="62" spans="1:25">
      <c r="A62" s="1"/>
      <c r="B62" s="81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</row>
    <row r="63" spans="1:25">
      <c r="A63" s="1"/>
      <c r="B63" s="81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</row>
    <row r="64" spans="1:25">
      <c r="A64" s="1"/>
      <c r="B64" s="81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</row>
    <row r="65" spans="1:22">
      <c r="A65" s="1"/>
      <c r="B65" s="81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</row>
    <row r="66" spans="1:22">
      <c r="A66" s="1"/>
      <c r="B66" s="81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</row>
    <row r="67" spans="1:22">
      <c r="A67" s="493" t="s">
        <v>635</v>
      </c>
      <c r="O67" s="79"/>
      <c r="P67" s="79"/>
      <c r="Q67" s="79"/>
      <c r="R67" s="79"/>
      <c r="S67" s="79"/>
      <c r="T67" s="79"/>
      <c r="U67" s="79"/>
      <c r="V67" s="79"/>
    </row>
    <row r="68" spans="1:22">
      <c r="A68" s="1" t="s">
        <v>160</v>
      </c>
      <c r="O68" s="79"/>
      <c r="P68" s="79"/>
      <c r="Q68" s="79"/>
      <c r="R68" s="79"/>
      <c r="S68" s="79"/>
      <c r="T68" s="79"/>
      <c r="U68" s="79"/>
      <c r="V68" s="79"/>
    </row>
    <row r="69" spans="1:22">
      <c r="A69" s="1" t="s">
        <v>161</v>
      </c>
      <c r="B69" s="1">
        <v>1</v>
      </c>
      <c r="C69" s="1">
        <v>2</v>
      </c>
      <c r="D69" s="1">
        <v>3</v>
      </c>
      <c r="E69" s="1">
        <v>4</v>
      </c>
      <c r="F69" s="1">
        <v>5</v>
      </c>
      <c r="G69" s="1">
        <v>6</v>
      </c>
      <c r="H69" s="1">
        <v>7</v>
      </c>
      <c r="I69" s="1">
        <v>8</v>
      </c>
      <c r="J69" s="1">
        <v>9</v>
      </c>
      <c r="K69" s="1">
        <v>10</v>
      </c>
      <c r="L69" s="1">
        <v>11</v>
      </c>
      <c r="M69" s="1">
        <v>12</v>
      </c>
      <c r="O69" s="79"/>
      <c r="P69" s="79"/>
      <c r="Q69" s="79"/>
      <c r="R69" s="79"/>
      <c r="S69" s="79"/>
      <c r="T69" s="79"/>
      <c r="U69" s="79"/>
      <c r="V69" s="79"/>
    </row>
    <row r="70" spans="1:22">
      <c r="A70" s="1" t="s">
        <v>162</v>
      </c>
      <c r="B70">
        <v>0</v>
      </c>
      <c r="C70">
        <v>0</v>
      </c>
      <c r="D70">
        <v>0</v>
      </c>
      <c r="E70">
        <v>46.1</v>
      </c>
      <c r="F70">
        <v>117.1</v>
      </c>
      <c r="G70">
        <v>181.5</v>
      </c>
      <c r="H70">
        <v>206.1</v>
      </c>
      <c r="I70">
        <v>165.6</v>
      </c>
      <c r="J70">
        <v>109.5</v>
      </c>
      <c r="K70">
        <v>50.1</v>
      </c>
      <c r="L70">
        <v>12.1</v>
      </c>
      <c r="M70">
        <v>0</v>
      </c>
      <c r="N70">
        <v>888</v>
      </c>
      <c r="O70" s="79"/>
      <c r="P70" s="79"/>
      <c r="Q70" s="79"/>
      <c r="R70" s="79"/>
      <c r="S70" s="79"/>
      <c r="T70" s="79"/>
      <c r="U70" s="79"/>
      <c r="V70" s="79"/>
    </row>
    <row r="71" spans="1:22">
      <c r="A71" s="1"/>
      <c r="O71" s="79"/>
      <c r="P71" s="79"/>
      <c r="Q71" s="79"/>
      <c r="R71" s="79"/>
      <c r="S71" s="79"/>
      <c r="T71" s="79"/>
      <c r="U71" s="79"/>
      <c r="V71" s="79"/>
    </row>
    <row r="72" spans="1:22">
      <c r="A72" s="1" t="s">
        <v>163</v>
      </c>
      <c r="B72" s="1" t="s">
        <v>164</v>
      </c>
      <c r="O72" s="79"/>
      <c r="P72" s="79"/>
      <c r="Q72" s="79"/>
      <c r="R72" s="79"/>
      <c r="S72" s="79"/>
      <c r="T72" s="79"/>
      <c r="U72" s="79"/>
      <c r="V72" s="79"/>
    </row>
    <row r="73" spans="1:22">
      <c r="A73" s="1" t="s">
        <v>165</v>
      </c>
      <c r="B73">
        <f t="shared" ref="B73:M73" si="27">+B79*0.0204433</f>
        <v>0</v>
      </c>
      <c r="C73">
        <f t="shared" si="27"/>
        <v>0</v>
      </c>
      <c r="D73">
        <f t="shared" si="27"/>
        <v>0</v>
      </c>
      <c r="E73">
        <f t="shared" si="27"/>
        <v>5.7004419565125302</v>
      </c>
      <c r="F73">
        <f t="shared" si="27"/>
        <v>2.5084750600570036</v>
      </c>
      <c r="G73">
        <f t="shared" si="27"/>
        <v>1.2286693578729893</v>
      </c>
      <c r="H73">
        <f t="shared" si="27"/>
        <v>1.179163864170109</v>
      </c>
      <c r="I73">
        <f t="shared" si="27"/>
        <v>1.6352615410720122</v>
      </c>
      <c r="J73">
        <f t="shared" si="27"/>
        <v>2.2386409805228817</v>
      </c>
      <c r="K73">
        <f t="shared" si="27"/>
        <v>4.707528287271761</v>
      </c>
      <c r="L73">
        <f t="shared" si="27"/>
        <v>0</v>
      </c>
      <c r="M73">
        <f t="shared" si="27"/>
        <v>0</v>
      </c>
      <c r="O73" s="79"/>
      <c r="P73" s="79"/>
      <c r="Q73" s="79"/>
      <c r="R73" s="79"/>
      <c r="S73" s="79"/>
      <c r="T73" s="79"/>
      <c r="U73" s="79"/>
      <c r="V73" s="79"/>
    </row>
    <row r="74" spans="1:22">
      <c r="A74" s="1" t="s">
        <v>166</v>
      </c>
      <c r="B74">
        <f t="shared" ref="B74:M74" si="28">+B80*0.0204433</f>
        <v>0</v>
      </c>
      <c r="C74">
        <f t="shared" si="28"/>
        <v>0</v>
      </c>
      <c r="D74">
        <f t="shared" si="28"/>
        <v>0</v>
      </c>
      <c r="E74">
        <f t="shared" si="28"/>
        <v>4.2211624103718961</v>
      </c>
      <c r="F74">
        <f t="shared" si="28"/>
        <v>1.8792356485214048</v>
      </c>
      <c r="G74">
        <f t="shared" si="28"/>
        <v>0.94479426453477944</v>
      </c>
      <c r="H74">
        <f t="shared" si="28"/>
        <v>0.90197663015034024</v>
      </c>
      <c r="I74">
        <f t="shared" si="28"/>
        <v>1.2249776263581911</v>
      </c>
      <c r="J74">
        <f t="shared" si="28"/>
        <v>1.6261742012711959</v>
      </c>
      <c r="K74">
        <f t="shared" si="28"/>
        <v>3.2047992326588353</v>
      </c>
      <c r="L74">
        <f t="shared" si="28"/>
        <v>0</v>
      </c>
      <c r="M74">
        <f t="shared" si="28"/>
        <v>0</v>
      </c>
      <c r="O74" s="79"/>
      <c r="P74" s="79"/>
      <c r="Q74" s="79"/>
      <c r="R74" s="79"/>
      <c r="S74" s="79"/>
      <c r="T74" s="79"/>
      <c r="U74" s="79"/>
      <c r="V74" s="79"/>
    </row>
    <row r="75" spans="1:22">
      <c r="A75" s="1" t="s">
        <v>167</v>
      </c>
      <c r="B75">
        <f t="shared" ref="B75:M75" si="29">+B81*0.0204433</f>
        <v>0</v>
      </c>
      <c r="C75">
        <f t="shared" si="29"/>
        <v>0</v>
      </c>
      <c r="D75">
        <f t="shared" si="29"/>
        <v>0</v>
      </c>
      <c r="E75">
        <f t="shared" si="29"/>
        <v>5.742445213034201</v>
      </c>
      <c r="F75">
        <f t="shared" si="29"/>
        <v>2.526958560499529</v>
      </c>
      <c r="G75">
        <f t="shared" si="29"/>
        <v>1.2377227110362639</v>
      </c>
      <c r="H75">
        <f t="shared" si="29"/>
        <v>1.1878524400113626</v>
      </c>
      <c r="I75">
        <f t="shared" si="29"/>
        <v>1.647310836637806</v>
      </c>
      <c r="J75">
        <f t="shared" si="29"/>
        <v>2.2551362298530497</v>
      </c>
      <c r="K75">
        <f t="shared" si="29"/>
        <v>4.7422153378095526</v>
      </c>
      <c r="L75">
        <f t="shared" si="29"/>
        <v>0</v>
      </c>
      <c r="M75">
        <f t="shared" si="29"/>
        <v>0</v>
      </c>
      <c r="O75" s="79"/>
      <c r="P75" s="79"/>
      <c r="Q75" s="79"/>
      <c r="R75" s="79"/>
      <c r="S75" s="79"/>
      <c r="T75" s="79"/>
      <c r="U75" s="79"/>
      <c r="V75" s="79"/>
    </row>
    <row r="76" spans="1:22">
      <c r="A76" s="1" t="s">
        <v>168</v>
      </c>
      <c r="B76">
        <f t="shared" ref="B76:M76" si="30">+B82*0.0204433</f>
        <v>0</v>
      </c>
      <c r="C76">
        <f t="shared" si="30"/>
        <v>0</v>
      </c>
      <c r="D76">
        <f t="shared" si="30"/>
        <v>0</v>
      </c>
      <c r="E76">
        <f t="shared" si="30"/>
        <v>4.1606129495673816</v>
      </c>
      <c r="F76">
        <f t="shared" si="30"/>
        <v>1.8522793994647448</v>
      </c>
      <c r="G76">
        <f t="shared" si="30"/>
        <v>0.93124188778940364</v>
      </c>
      <c r="H76">
        <f t="shared" si="30"/>
        <v>0.88903844078342975</v>
      </c>
      <c r="I76">
        <f t="shared" si="30"/>
        <v>1.2074062259801022</v>
      </c>
      <c r="J76">
        <f t="shared" si="30"/>
        <v>1.6028479319906663</v>
      </c>
      <c r="K76">
        <f t="shared" si="30"/>
        <v>3.1588287518624991</v>
      </c>
      <c r="L76">
        <f t="shared" si="30"/>
        <v>0</v>
      </c>
      <c r="M76">
        <f t="shared" si="30"/>
        <v>0</v>
      </c>
      <c r="O76" s="79"/>
      <c r="P76" s="79"/>
      <c r="Q76" s="79"/>
      <c r="R76" s="79"/>
      <c r="S76" s="79"/>
      <c r="T76" s="79"/>
      <c r="U76" s="79"/>
      <c r="V76" s="79"/>
    </row>
    <row r="77" spans="1:22">
      <c r="A77" s="1"/>
      <c r="O77" s="79"/>
      <c r="P77" s="79"/>
      <c r="Q77" s="79"/>
      <c r="R77" s="79"/>
      <c r="S77" s="79"/>
      <c r="T77" s="79"/>
      <c r="U77" s="79"/>
      <c r="V77" s="79"/>
    </row>
    <row r="78" spans="1:22">
      <c r="A78" s="1" t="s">
        <v>163</v>
      </c>
      <c r="B78" s="1" t="s">
        <v>169</v>
      </c>
      <c r="O78" s="79"/>
      <c r="P78" s="79"/>
      <c r="Q78" s="79"/>
      <c r="R78" s="79"/>
      <c r="S78" s="79"/>
      <c r="T78" s="79"/>
      <c r="U78" s="79"/>
      <c r="V78" s="79"/>
    </row>
    <row r="79" spans="1:22">
      <c r="A79" s="1" t="s">
        <v>165</v>
      </c>
      <c r="B79" s="78">
        <v>0</v>
      </c>
      <c r="C79" s="78">
        <v>0</v>
      </c>
      <c r="D79" s="78">
        <v>0</v>
      </c>
      <c r="E79">
        <v>278.84157433058897</v>
      </c>
      <c r="F79">
        <v>122.70401843425492</v>
      </c>
      <c r="G79">
        <v>60.101322089534918</v>
      </c>
      <c r="H79">
        <v>57.679722166680968</v>
      </c>
      <c r="I79">
        <v>79.9900965632756</v>
      </c>
      <c r="J79">
        <v>109.50487350490779</v>
      </c>
      <c r="K79">
        <v>230.27242604040251</v>
      </c>
      <c r="L79" s="78">
        <v>0</v>
      </c>
      <c r="M79" s="78">
        <v>0</v>
      </c>
      <c r="O79" s="79"/>
      <c r="P79" s="79"/>
      <c r="Q79" s="79"/>
      <c r="R79" s="79"/>
      <c r="S79" s="79"/>
      <c r="T79" s="79"/>
      <c r="U79" s="79"/>
      <c r="V79" s="79"/>
    </row>
    <row r="80" spans="1:22">
      <c r="A80" s="1" t="s">
        <v>166</v>
      </c>
      <c r="B80" s="78">
        <v>0</v>
      </c>
      <c r="C80" s="78">
        <v>0</v>
      </c>
      <c r="D80" s="78">
        <v>0</v>
      </c>
      <c r="E80">
        <v>206.48145898029654</v>
      </c>
      <c r="F80">
        <v>91.924280743392927</v>
      </c>
      <c r="G80">
        <v>46.215349994119315</v>
      </c>
      <c r="H80">
        <v>44.120891937717502</v>
      </c>
      <c r="I80">
        <v>59.920738156667028</v>
      </c>
      <c r="J80">
        <v>79.545582233357422</v>
      </c>
      <c r="K80">
        <v>156.76525965273879</v>
      </c>
      <c r="L80" s="78">
        <v>0</v>
      </c>
      <c r="M80" s="78">
        <v>0</v>
      </c>
      <c r="O80" s="79"/>
      <c r="P80" s="79"/>
      <c r="Q80" s="79"/>
      <c r="R80" s="79"/>
      <c r="S80" s="79"/>
      <c r="T80" s="79"/>
      <c r="U80" s="79"/>
      <c r="V80" s="79"/>
    </row>
    <row r="81" spans="1:22">
      <c r="A81" s="1" t="s">
        <v>167</v>
      </c>
      <c r="B81" s="78">
        <v>0</v>
      </c>
      <c r="C81" s="78">
        <v>0</v>
      </c>
      <c r="D81" s="78">
        <v>0</v>
      </c>
      <c r="E81">
        <v>280.89619645723542</v>
      </c>
      <c r="F81">
        <v>123.60815330692837</v>
      </c>
      <c r="G81">
        <v>60.544173936510433</v>
      </c>
      <c r="H81">
        <v>58.104730645803883</v>
      </c>
      <c r="I81">
        <v>80.579497274794477</v>
      </c>
      <c r="J81">
        <v>110.3117515202071</v>
      </c>
      <c r="K81">
        <v>231.96917023227914</v>
      </c>
      <c r="L81" s="78">
        <v>0</v>
      </c>
      <c r="M81" s="78">
        <v>0</v>
      </c>
      <c r="O81" s="79"/>
      <c r="P81" s="79"/>
      <c r="Q81" s="79"/>
      <c r="R81" s="79"/>
      <c r="S81" s="79"/>
      <c r="T81" s="79"/>
      <c r="U81" s="79"/>
      <c r="V81" s="79"/>
    </row>
    <row r="82" spans="1:22">
      <c r="A82" s="1" t="s">
        <v>168</v>
      </c>
      <c r="B82" s="78">
        <v>0</v>
      </c>
      <c r="C82" s="78">
        <v>0</v>
      </c>
      <c r="D82" s="78">
        <v>0</v>
      </c>
      <c r="E82">
        <v>203.51963477361195</v>
      </c>
      <c r="F82">
        <v>90.605694749122932</v>
      </c>
      <c r="G82">
        <v>45.552424891744657</v>
      </c>
      <c r="H82">
        <v>43.488010291069919</v>
      </c>
      <c r="I82">
        <v>59.061219371632866</v>
      </c>
      <c r="J82">
        <v>78.404559537387129</v>
      </c>
      <c r="K82">
        <v>154.51657764952327</v>
      </c>
      <c r="L82" s="78">
        <v>0</v>
      </c>
      <c r="M82" s="78">
        <v>0</v>
      </c>
      <c r="O82" s="79"/>
      <c r="P82" s="79"/>
      <c r="Q82" s="79"/>
      <c r="R82" s="79"/>
      <c r="S82" s="79"/>
      <c r="T82" s="79"/>
      <c r="U82" s="79"/>
      <c r="V82" s="79"/>
    </row>
    <row r="83" spans="1:22">
      <c r="A83" s="1"/>
      <c r="B83" s="81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</row>
    <row r="84" spans="1:22">
      <c r="A84" s="1"/>
      <c r="B84" s="81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</row>
    <row r="85" spans="1:22">
      <c r="A85" s="1"/>
      <c r="B85" s="81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</row>
    <row r="86" spans="1:22">
      <c r="A86" s="493" t="s">
        <v>636</v>
      </c>
      <c r="P86" s="79"/>
      <c r="Q86" s="79"/>
      <c r="R86" s="79"/>
      <c r="S86" s="79"/>
      <c r="T86" s="79"/>
      <c r="U86" s="79"/>
      <c r="V86" s="79"/>
    </row>
    <row r="87" spans="1:22">
      <c r="A87" s="1" t="s">
        <v>160</v>
      </c>
      <c r="P87" s="79"/>
      <c r="Q87" s="79"/>
      <c r="R87" s="79"/>
      <c r="S87" s="79"/>
      <c r="T87" s="79"/>
      <c r="U87" s="79"/>
      <c r="V87" s="79"/>
    </row>
    <row r="88" spans="1:22">
      <c r="A88" s="1" t="s">
        <v>161</v>
      </c>
      <c r="B88" s="1">
        <v>1</v>
      </c>
      <c r="C88" s="1">
        <v>2</v>
      </c>
      <c r="D88" s="1">
        <v>3</v>
      </c>
      <c r="E88" s="1">
        <v>4</v>
      </c>
      <c r="F88" s="1">
        <v>5</v>
      </c>
      <c r="G88" s="1">
        <v>6</v>
      </c>
      <c r="H88" s="1">
        <v>7</v>
      </c>
      <c r="I88" s="1">
        <v>8</v>
      </c>
      <c r="J88" s="1">
        <v>9</v>
      </c>
      <c r="K88" s="1">
        <v>10</v>
      </c>
      <c r="L88" s="1">
        <v>11</v>
      </c>
      <c r="M88" s="1">
        <v>12</v>
      </c>
      <c r="P88" s="79"/>
      <c r="Q88" s="79"/>
      <c r="R88" s="79"/>
      <c r="S88" s="79"/>
      <c r="T88" s="79"/>
      <c r="U88" s="79"/>
      <c r="V88" s="79"/>
    </row>
    <row r="89" spans="1:22">
      <c r="A89" s="1" t="s">
        <v>162</v>
      </c>
      <c r="B89" s="78">
        <v>0</v>
      </c>
      <c r="C89" s="78">
        <v>0.1</v>
      </c>
      <c r="D89" s="78">
        <v>6.6</v>
      </c>
      <c r="E89" s="78">
        <v>64.7</v>
      </c>
      <c r="F89" s="78">
        <v>148.80000000000001</v>
      </c>
      <c r="G89" s="78">
        <v>213.5</v>
      </c>
      <c r="H89" s="78">
        <v>237.6</v>
      </c>
      <c r="I89" s="78">
        <v>196.7</v>
      </c>
      <c r="J89" s="78">
        <v>133.30000000000001</v>
      </c>
      <c r="K89" s="78">
        <v>63.6</v>
      </c>
      <c r="L89" s="78">
        <v>21.8</v>
      </c>
      <c r="M89" s="78">
        <v>0</v>
      </c>
      <c r="N89" s="78">
        <f>SUM(B89:M89)</f>
        <v>1086.6999999999998</v>
      </c>
      <c r="P89" s="79"/>
      <c r="Q89" s="79"/>
      <c r="R89" s="79"/>
      <c r="S89" s="79"/>
      <c r="T89" s="79"/>
      <c r="U89" s="79"/>
      <c r="V89" s="79"/>
    </row>
    <row r="90" spans="1:22">
      <c r="A90" s="1"/>
      <c r="P90" s="79"/>
      <c r="Q90" s="79"/>
      <c r="R90" s="79"/>
      <c r="S90" s="79"/>
      <c r="T90" s="79"/>
      <c r="U90" s="79"/>
      <c r="V90" s="79"/>
    </row>
    <row r="91" spans="1:22">
      <c r="A91" s="1" t="s">
        <v>163</v>
      </c>
      <c r="B91" s="1" t="s">
        <v>164</v>
      </c>
      <c r="P91" s="79"/>
      <c r="Q91" s="79"/>
      <c r="R91" s="79"/>
      <c r="S91" s="79"/>
      <c r="T91" s="79"/>
      <c r="U91" s="79"/>
      <c r="V91" s="79"/>
    </row>
    <row r="92" spans="1:22">
      <c r="A92" s="1" t="s">
        <v>165</v>
      </c>
      <c r="B92">
        <f t="shared" ref="B92:M92" si="31">+B98*0.0204433</f>
        <v>0</v>
      </c>
      <c r="C92">
        <f t="shared" si="31"/>
        <v>0</v>
      </c>
      <c r="D92">
        <f t="shared" si="31"/>
        <v>0</v>
      </c>
      <c r="E92">
        <f t="shared" si="31"/>
        <v>4.0915038250999292</v>
      </c>
      <c r="F92">
        <f t="shared" si="31"/>
        <v>2.1245074332742013</v>
      </c>
      <c r="G92">
        <f t="shared" si="31"/>
        <v>1.2582206966517728</v>
      </c>
      <c r="H92">
        <f t="shared" si="31"/>
        <v>1.1382027138752215</v>
      </c>
      <c r="I92">
        <f t="shared" si="31"/>
        <v>1.5811352575110209</v>
      </c>
      <c r="J92">
        <f t="shared" si="31"/>
        <v>1.8268367778009291</v>
      </c>
      <c r="K92">
        <f t="shared" si="31"/>
        <v>3.602017255806607</v>
      </c>
      <c r="L92">
        <f t="shared" si="31"/>
        <v>0</v>
      </c>
      <c r="M92">
        <f t="shared" si="31"/>
        <v>0</v>
      </c>
      <c r="P92" s="79"/>
      <c r="Q92" s="79"/>
      <c r="R92" s="79"/>
      <c r="S92" s="79"/>
      <c r="T92" s="79"/>
      <c r="U92" s="79"/>
      <c r="V92" s="79"/>
    </row>
    <row r="93" spans="1:22">
      <c r="A93" s="1" t="s">
        <v>166</v>
      </c>
      <c r="B93">
        <f t="shared" ref="B93:M93" si="32">+B99*0.0204433</f>
        <v>0</v>
      </c>
      <c r="C93">
        <f t="shared" si="32"/>
        <v>0</v>
      </c>
      <c r="D93">
        <f t="shared" si="32"/>
        <v>0</v>
      </c>
      <c r="E93">
        <f t="shared" si="32"/>
        <v>3.0050183519831304</v>
      </c>
      <c r="F93">
        <f t="shared" si="32"/>
        <v>1.5735350516779394</v>
      </c>
      <c r="G93">
        <f t="shared" si="32"/>
        <v>0.94962082905254896</v>
      </c>
      <c r="H93">
        <f t="shared" si="32"/>
        <v>0.86018799147115177</v>
      </c>
      <c r="I93">
        <f t="shared" si="32"/>
        <v>1.1583307399373401</v>
      </c>
      <c r="J93">
        <f t="shared" si="32"/>
        <v>1.3139146498643379</v>
      </c>
      <c r="K93">
        <f t="shared" si="32"/>
        <v>2.4302937646155249</v>
      </c>
      <c r="L93">
        <f t="shared" si="32"/>
        <v>0</v>
      </c>
      <c r="M93">
        <f t="shared" si="32"/>
        <v>0</v>
      </c>
      <c r="P93" s="79"/>
      <c r="Q93" s="79"/>
      <c r="R93" s="79"/>
      <c r="S93" s="79"/>
      <c r="T93" s="79"/>
      <c r="U93" s="79"/>
      <c r="V93" s="79"/>
    </row>
    <row r="94" spans="1:22">
      <c r="A94" s="1" t="s">
        <v>167</v>
      </c>
      <c r="B94">
        <f t="shared" ref="B94:M94" si="33">+B100*0.0204433</f>
        <v>0</v>
      </c>
      <c r="C94">
        <f t="shared" si="33"/>
        <v>0</v>
      </c>
      <c r="D94">
        <f t="shared" si="33"/>
        <v>0</v>
      </c>
      <c r="E94">
        <f t="shared" si="33"/>
        <v>4.1216517480217183</v>
      </c>
      <c r="F94">
        <f t="shared" si="33"/>
        <v>2.1401616985720109</v>
      </c>
      <c r="G94">
        <f t="shared" si="33"/>
        <v>1.2674917965218389</v>
      </c>
      <c r="H94">
        <f t="shared" si="33"/>
        <v>1.1465894707143023</v>
      </c>
      <c r="I94">
        <f t="shared" si="33"/>
        <v>1.5927857278295234</v>
      </c>
      <c r="J94">
        <f t="shared" si="33"/>
        <v>1.8402976803741988</v>
      </c>
      <c r="K94">
        <f t="shared" si="33"/>
        <v>3.6285584355862341</v>
      </c>
      <c r="L94">
        <f t="shared" si="33"/>
        <v>0</v>
      </c>
      <c r="M94">
        <f t="shared" si="33"/>
        <v>0</v>
      </c>
      <c r="P94" s="79"/>
      <c r="Q94" s="79"/>
      <c r="R94" s="79"/>
      <c r="S94" s="79"/>
      <c r="T94" s="79"/>
      <c r="U94" s="79"/>
      <c r="V94" s="79"/>
    </row>
    <row r="95" spans="1:22">
      <c r="A95" s="1" t="s">
        <v>168</v>
      </c>
      <c r="B95">
        <f t="shared" ref="B95:M95" si="34">+B101*0.0204433</f>
        <v>0</v>
      </c>
      <c r="C95">
        <f t="shared" si="34"/>
        <v>0</v>
      </c>
      <c r="D95">
        <f t="shared" si="34"/>
        <v>0</v>
      </c>
      <c r="E95">
        <f t="shared" si="34"/>
        <v>2.9619135805407493</v>
      </c>
      <c r="F95">
        <f t="shared" si="34"/>
        <v>1.5509638521661655</v>
      </c>
      <c r="G95">
        <f t="shared" si="34"/>
        <v>0.9359992187997459</v>
      </c>
      <c r="H95">
        <f t="shared" si="34"/>
        <v>0.84784922929841</v>
      </c>
      <c r="I95">
        <f t="shared" si="34"/>
        <v>1.1417153399792224</v>
      </c>
      <c r="J95">
        <f t="shared" si="34"/>
        <v>1.2950675134933329</v>
      </c>
      <c r="K95">
        <f t="shared" si="34"/>
        <v>2.3954329934017773</v>
      </c>
      <c r="L95">
        <f t="shared" si="34"/>
        <v>0</v>
      </c>
      <c r="M95">
        <f t="shared" si="34"/>
        <v>0</v>
      </c>
      <c r="P95" s="79"/>
      <c r="Q95" s="79"/>
      <c r="R95" s="79"/>
      <c r="S95" s="79"/>
      <c r="T95" s="79"/>
      <c r="U95" s="79"/>
      <c r="V95" s="79"/>
    </row>
    <row r="96" spans="1:22">
      <c r="A96" s="1"/>
      <c r="P96" s="79"/>
      <c r="Q96" s="79"/>
      <c r="R96" s="79"/>
      <c r="S96" s="79"/>
      <c r="T96" s="79"/>
      <c r="U96" s="79"/>
      <c r="V96" s="79"/>
    </row>
    <row r="97" spans="1:22">
      <c r="A97" s="1" t="s">
        <v>163</v>
      </c>
      <c r="B97" s="1" t="s">
        <v>169</v>
      </c>
      <c r="P97" s="79"/>
      <c r="Q97" s="79"/>
      <c r="R97" s="79"/>
      <c r="S97" s="79"/>
      <c r="T97" s="79"/>
      <c r="U97" s="79"/>
      <c r="V97" s="79"/>
    </row>
    <row r="98" spans="1:22">
      <c r="A98" s="1" t="s">
        <v>165</v>
      </c>
      <c r="B98" s="78">
        <v>0</v>
      </c>
      <c r="C98" s="78">
        <v>0</v>
      </c>
      <c r="D98" s="78">
        <v>0</v>
      </c>
      <c r="E98">
        <v>200.13910792777727</v>
      </c>
      <c r="F98">
        <v>103.92194182319885</v>
      </c>
      <c r="G98">
        <v>61.546848926140733</v>
      </c>
      <c r="H98">
        <v>55.676075480730681</v>
      </c>
      <c r="I98">
        <v>77.342467092446952</v>
      </c>
      <c r="J98">
        <v>89.361149021974384</v>
      </c>
      <c r="K98">
        <v>176.19548975980427</v>
      </c>
      <c r="L98" s="78">
        <v>0</v>
      </c>
      <c r="M98" s="78">
        <v>0</v>
      </c>
      <c r="P98" s="79"/>
      <c r="Q98" s="79"/>
      <c r="R98" s="79"/>
      <c r="S98" s="79"/>
      <c r="T98" s="79"/>
      <c r="U98" s="79"/>
      <c r="V98" s="79"/>
    </row>
    <row r="99" spans="1:22">
      <c r="A99" s="1" t="s">
        <v>166</v>
      </c>
      <c r="B99" s="78">
        <v>0</v>
      </c>
      <c r="C99" s="78">
        <v>0</v>
      </c>
      <c r="D99" s="78">
        <v>0</v>
      </c>
      <c r="E99">
        <v>146.99282170604209</v>
      </c>
      <c r="F99">
        <v>76.970697083051135</v>
      </c>
      <c r="G99">
        <v>46.451445170424975</v>
      </c>
      <c r="H99">
        <v>42.076768010602578</v>
      </c>
      <c r="I99">
        <v>56.660653609609994</v>
      </c>
      <c r="J99">
        <v>64.271162183421353</v>
      </c>
      <c r="K99">
        <v>118.87971925352193</v>
      </c>
      <c r="L99" s="78">
        <v>0</v>
      </c>
      <c r="M99" s="78">
        <v>0</v>
      </c>
      <c r="P99" s="79"/>
      <c r="Q99" s="79"/>
      <c r="R99" s="79"/>
      <c r="S99" s="79"/>
      <c r="T99" s="79"/>
      <c r="U99" s="79"/>
      <c r="V99" s="79"/>
    </row>
    <row r="100" spans="1:22">
      <c r="A100" s="1" t="s">
        <v>167</v>
      </c>
      <c r="B100" s="78">
        <v>0</v>
      </c>
      <c r="C100" s="78">
        <v>0</v>
      </c>
      <c r="D100" s="78">
        <v>0</v>
      </c>
      <c r="E100">
        <v>201.61381714408719</v>
      </c>
      <c r="F100">
        <v>104.68768244715926</v>
      </c>
      <c r="G100">
        <v>62.000352023491253</v>
      </c>
      <c r="H100">
        <v>56.086320247430805</v>
      </c>
      <c r="I100">
        <v>77.912358955233415</v>
      </c>
      <c r="J100">
        <v>90.019599593715242</v>
      </c>
      <c r="K100">
        <v>177.49377231592914</v>
      </c>
      <c r="L100" s="78">
        <v>0</v>
      </c>
      <c r="M100" s="78">
        <v>0</v>
      </c>
      <c r="P100" s="79"/>
      <c r="Q100" s="79"/>
      <c r="R100" s="79"/>
      <c r="S100" s="79"/>
      <c r="T100" s="79"/>
      <c r="U100" s="79"/>
      <c r="V100" s="79"/>
    </row>
    <row r="101" spans="1:22">
      <c r="A101" s="1" t="s">
        <v>168</v>
      </c>
      <c r="B101" s="78">
        <v>0</v>
      </c>
      <c r="C101" s="78">
        <v>0</v>
      </c>
      <c r="D101" s="78">
        <v>0</v>
      </c>
      <c r="E101">
        <v>144.88431811599639</v>
      </c>
      <c r="F101">
        <v>75.866609215056542</v>
      </c>
      <c r="G101">
        <v>45.785133456914778</v>
      </c>
      <c r="H101">
        <v>41.473207813729189</v>
      </c>
      <c r="I101">
        <v>55.847898332422957</v>
      </c>
      <c r="J101">
        <v>63.349239775052602</v>
      </c>
      <c r="K101">
        <v>117.1744773789837</v>
      </c>
      <c r="L101" s="78">
        <v>0</v>
      </c>
      <c r="M101" s="78">
        <v>0</v>
      </c>
      <c r="P101" s="79"/>
      <c r="Q101" s="79"/>
      <c r="R101" s="79"/>
      <c r="S101" s="79"/>
      <c r="T101" s="79"/>
      <c r="U101" s="79"/>
      <c r="V101" s="79"/>
    </row>
    <row r="102" spans="1:22">
      <c r="A102" s="1"/>
      <c r="B102" s="81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  <row r="103" spans="1:22">
      <c r="A103" s="1"/>
      <c r="B103" s="81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</row>
    <row r="104" spans="1:22">
      <c r="A104" s="493" t="s">
        <v>637</v>
      </c>
      <c r="P104" s="79"/>
      <c r="Q104" s="79"/>
      <c r="R104" s="79"/>
      <c r="S104" s="79"/>
      <c r="T104" s="79"/>
      <c r="U104" s="79"/>
      <c r="V104" s="79"/>
    </row>
    <row r="105" spans="1:22">
      <c r="A105" s="1" t="s">
        <v>160</v>
      </c>
      <c r="P105" s="79"/>
      <c r="Q105" s="79"/>
      <c r="R105" s="79"/>
      <c r="S105" s="79"/>
      <c r="T105" s="79"/>
      <c r="U105" s="79"/>
      <c r="V105" s="79"/>
    </row>
    <row r="106" spans="1:22">
      <c r="A106" s="1" t="s">
        <v>161</v>
      </c>
      <c r="B106" s="1">
        <v>1</v>
      </c>
      <c r="C106" s="1">
        <v>2</v>
      </c>
      <c r="D106" s="1">
        <v>3</v>
      </c>
      <c r="E106" s="1">
        <v>4</v>
      </c>
      <c r="F106" s="1">
        <v>5</v>
      </c>
      <c r="G106" s="1">
        <v>6</v>
      </c>
      <c r="H106" s="1">
        <v>7</v>
      </c>
      <c r="I106" s="1">
        <v>8</v>
      </c>
      <c r="J106" s="1">
        <v>9</v>
      </c>
      <c r="K106" s="1">
        <v>10</v>
      </c>
      <c r="L106" s="1">
        <v>11</v>
      </c>
      <c r="M106" s="1">
        <v>12</v>
      </c>
      <c r="P106" s="79"/>
      <c r="Q106" s="79"/>
      <c r="R106" s="79"/>
      <c r="S106" s="79"/>
      <c r="T106" s="79"/>
      <c r="U106" s="79"/>
      <c r="V106" s="79"/>
    </row>
    <row r="107" spans="1:22">
      <c r="A107" s="1" t="s">
        <v>162</v>
      </c>
      <c r="B107" s="92">
        <v>3.8</v>
      </c>
      <c r="C107" s="92">
        <v>10.6</v>
      </c>
      <c r="D107" s="92">
        <v>28</v>
      </c>
      <c r="E107" s="92">
        <v>96.5</v>
      </c>
      <c r="F107" s="92">
        <v>194</v>
      </c>
      <c r="G107" s="92">
        <v>261.7</v>
      </c>
      <c r="H107" s="92">
        <v>286</v>
      </c>
      <c r="I107" s="92">
        <v>247.5</v>
      </c>
      <c r="J107" s="92">
        <v>170.1</v>
      </c>
      <c r="K107" s="92">
        <v>91.9</v>
      </c>
      <c r="L107" s="92">
        <v>41.2</v>
      </c>
      <c r="M107" s="92">
        <v>15.4</v>
      </c>
      <c r="N107" s="78">
        <f>SUM(B107:M107)</f>
        <v>1446.7</v>
      </c>
      <c r="P107" s="79"/>
      <c r="Q107" s="79"/>
      <c r="R107" s="79"/>
      <c r="S107" s="79"/>
      <c r="T107" s="79"/>
      <c r="U107" s="79"/>
      <c r="V107" s="79"/>
    </row>
    <row r="108" spans="1:22">
      <c r="A108" s="1"/>
      <c r="P108" s="79"/>
      <c r="Q108" s="79"/>
      <c r="R108" s="79"/>
      <c r="S108" s="79"/>
      <c r="T108" s="79"/>
      <c r="U108" s="79"/>
      <c r="V108" s="79"/>
    </row>
    <row r="109" spans="1:22">
      <c r="A109" s="1" t="s">
        <v>163</v>
      </c>
      <c r="B109" s="1" t="s">
        <v>164</v>
      </c>
      <c r="P109" s="79"/>
      <c r="Q109" s="79"/>
      <c r="R109" s="79"/>
      <c r="S109" s="79"/>
      <c r="T109" s="79"/>
      <c r="U109" s="79"/>
      <c r="V109" s="79"/>
    </row>
    <row r="110" spans="1:22">
      <c r="A110" s="1" t="s">
        <v>165</v>
      </c>
      <c r="B110">
        <f t="shared" ref="B110:M110" si="35">+B116*0.0204433</f>
        <v>0</v>
      </c>
      <c r="C110">
        <f t="shared" si="35"/>
        <v>0</v>
      </c>
      <c r="D110">
        <f t="shared" si="35"/>
        <v>0</v>
      </c>
      <c r="E110">
        <f t="shared" si="35"/>
        <v>2.5939818358388496</v>
      </c>
      <c r="F110">
        <f t="shared" si="35"/>
        <v>1.5771552779128715</v>
      </c>
      <c r="G110">
        <f t="shared" si="35"/>
        <v>0.84181012138646061</v>
      </c>
      <c r="H110">
        <f t="shared" si="35"/>
        <v>0.89573720493372322</v>
      </c>
      <c r="I110">
        <f t="shared" si="35"/>
        <v>1.1824546973897117</v>
      </c>
      <c r="J110">
        <f t="shared" si="35"/>
        <v>1.5545503176946869</v>
      </c>
      <c r="K110">
        <f t="shared" si="35"/>
        <v>2.5680202502653908</v>
      </c>
      <c r="L110">
        <f t="shared" si="35"/>
        <v>4.7197833628057548</v>
      </c>
      <c r="M110">
        <f t="shared" si="35"/>
        <v>0</v>
      </c>
      <c r="P110" s="79"/>
      <c r="Q110" s="79"/>
      <c r="R110" s="79"/>
      <c r="S110" s="79"/>
      <c r="T110" s="79"/>
      <c r="U110" s="79"/>
      <c r="V110" s="79"/>
    </row>
    <row r="111" spans="1:22">
      <c r="A111" s="1" t="s">
        <v>166</v>
      </c>
      <c r="B111">
        <f t="shared" ref="B111:M111" si="36">+B117*0.0204433</f>
        <v>0</v>
      </c>
      <c r="C111">
        <f t="shared" si="36"/>
        <v>0</v>
      </c>
      <c r="D111">
        <f t="shared" si="36"/>
        <v>0</v>
      </c>
      <c r="E111">
        <f t="shared" si="36"/>
        <v>1.9304170332960815</v>
      </c>
      <c r="F111">
        <f t="shared" si="36"/>
        <v>1.1757382929018636</v>
      </c>
      <c r="G111">
        <f t="shared" si="36"/>
        <v>0.64797037801727664</v>
      </c>
      <c r="H111">
        <f t="shared" si="36"/>
        <v>0.68160414517103629</v>
      </c>
      <c r="I111">
        <f t="shared" si="36"/>
        <v>0.87720909190888352</v>
      </c>
      <c r="J111">
        <f t="shared" si="36"/>
        <v>1.1137504550490058</v>
      </c>
      <c r="K111">
        <f t="shared" si="36"/>
        <v>1.7434471754630654</v>
      </c>
      <c r="L111">
        <f t="shared" si="36"/>
        <v>3.1311354032396026</v>
      </c>
      <c r="M111">
        <f t="shared" si="36"/>
        <v>0</v>
      </c>
      <c r="P111" s="79"/>
      <c r="Q111" s="79"/>
      <c r="R111" s="79"/>
      <c r="S111" s="79"/>
      <c r="T111" s="79"/>
      <c r="U111" s="79"/>
      <c r="V111" s="79"/>
    </row>
    <row r="112" spans="1:22">
      <c r="A112" s="1" t="s">
        <v>167</v>
      </c>
      <c r="B112">
        <f t="shared" ref="B112:M112" si="37">+B118*0.0204433</f>
        <v>0</v>
      </c>
      <c r="C112">
        <f t="shared" si="37"/>
        <v>0</v>
      </c>
      <c r="D112">
        <f t="shared" si="37"/>
        <v>0</v>
      </c>
      <c r="E112">
        <f t="shared" si="37"/>
        <v>2.6130953862081889</v>
      </c>
      <c r="F112">
        <f t="shared" si="37"/>
        <v>1.5887764220659137</v>
      </c>
      <c r="G112">
        <f t="shared" si="37"/>
        <v>0.84801293280720302</v>
      </c>
      <c r="H112">
        <f t="shared" si="37"/>
        <v>0.90233737381218238</v>
      </c>
      <c r="I112">
        <f t="shared" si="37"/>
        <v>1.1911675214757413</v>
      </c>
      <c r="J112">
        <f t="shared" si="37"/>
        <v>1.5660048989829634</v>
      </c>
      <c r="K112">
        <f t="shared" si="37"/>
        <v>2.5869425047410308</v>
      </c>
      <c r="L112">
        <f t="shared" si="37"/>
        <v>4.7545607139001129</v>
      </c>
      <c r="M112">
        <f t="shared" si="37"/>
        <v>0</v>
      </c>
    </row>
    <row r="113" spans="1:14">
      <c r="A113" s="1" t="s">
        <v>168</v>
      </c>
      <c r="B113">
        <f t="shared" ref="B113:M113" si="38">+B119*0.0204433</f>
        <v>0</v>
      </c>
      <c r="C113">
        <f t="shared" si="38"/>
        <v>0</v>
      </c>
      <c r="D113">
        <f t="shared" si="38"/>
        <v>0</v>
      </c>
      <c r="E113">
        <f t="shared" si="38"/>
        <v>1.9027266250315886</v>
      </c>
      <c r="F113">
        <f t="shared" si="38"/>
        <v>1.1588731944381074</v>
      </c>
      <c r="G113">
        <f t="shared" si="38"/>
        <v>0.63867572095555347</v>
      </c>
      <c r="H113">
        <f t="shared" si="38"/>
        <v>0.67182703653128772</v>
      </c>
      <c r="I113">
        <f t="shared" si="38"/>
        <v>0.86462617460691193</v>
      </c>
      <c r="J113">
        <f t="shared" si="38"/>
        <v>1.0977745263905159</v>
      </c>
      <c r="K113">
        <f t="shared" si="38"/>
        <v>1.7184387118806033</v>
      </c>
      <c r="L113">
        <f t="shared" si="38"/>
        <v>3.0862215757341165</v>
      </c>
      <c r="M113">
        <f t="shared" si="38"/>
        <v>0</v>
      </c>
    </row>
    <row r="114" spans="1:14">
      <c r="A114" s="1"/>
    </row>
    <row r="115" spans="1:14">
      <c r="A115" s="1" t="s">
        <v>163</v>
      </c>
      <c r="B115" s="1" t="s">
        <v>169</v>
      </c>
    </row>
    <row r="116" spans="1:14">
      <c r="A116" s="1" t="s">
        <v>165</v>
      </c>
      <c r="B116" s="78">
        <v>0</v>
      </c>
      <c r="C116" s="78">
        <v>0</v>
      </c>
      <c r="D116" s="78">
        <v>0</v>
      </c>
      <c r="E116">
        <v>126.88664921215505</v>
      </c>
      <c r="F116">
        <v>77.147783279258803</v>
      </c>
      <c r="G116">
        <v>41.177800129453686</v>
      </c>
      <c r="H116">
        <v>43.815685575896417</v>
      </c>
      <c r="I116">
        <v>57.840695846057713</v>
      </c>
      <c r="J116">
        <v>76.042043979919427</v>
      </c>
      <c r="K116">
        <v>125.61671795969295</v>
      </c>
      <c r="L116">
        <v>230.8718926399238</v>
      </c>
      <c r="M116" s="78">
        <v>0</v>
      </c>
    </row>
    <row r="117" spans="1:14">
      <c r="A117" s="1" t="s">
        <v>166</v>
      </c>
      <c r="B117" s="78">
        <v>0</v>
      </c>
      <c r="C117" s="78">
        <v>0</v>
      </c>
      <c r="D117" s="78">
        <v>0</v>
      </c>
      <c r="E117">
        <v>94.427858188065599</v>
      </c>
      <c r="F117">
        <v>57.512157670330311</v>
      </c>
      <c r="G117">
        <v>31.695977558284458</v>
      </c>
      <c r="H117">
        <v>33.341199570080967</v>
      </c>
      <c r="I117">
        <v>42.909368443885455</v>
      </c>
      <c r="J117">
        <v>54.479974125948637</v>
      </c>
      <c r="K117">
        <v>85.282081438078265</v>
      </c>
      <c r="L117">
        <v>153.16193585378107</v>
      </c>
      <c r="M117" s="78">
        <v>0</v>
      </c>
    </row>
    <row r="118" spans="1:14">
      <c r="A118" s="1" t="s">
        <v>167</v>
      </c>
      <c r="B118" s="78">
        <v>0</v>
      </c>
      <c r="C118" s="78">
        <v>0</v>
      </c>
      <c r="D118" s="78">
        <v>0</v>
      </c>
      <c r="E118">
        <v>127.82160346950779</v>
      </c>
      <c r="F118">
        <v>77.716240629737555</v>
      </c>
      <c r="G118">
        <v>41.481215498828611</v>
      </c>
      <c r="H118">
        <v>44.13853799592934</v>
      </c>
      <c r="I118">
        <v>58.266890447028672</v>
      </c>
      <c r="J118">
        <v>76.602353777666195</v>
      </c>
      <c r="K118">
        <v>126.54231482886964</v>
      </c>
      <c r="L118">
        <v>232.57305395411271</v>
      </c>
      <c r="M118" s="78">
        <v>0</v>
      </c>
    </row>
    <row r="119" spans="1:14">
      <c r="A119" s="1" t="s">
        <v>168</v>
      </c>
      <c r="B119" s="78">
        <v>0</v>
      </c>
      <c r="C119" s="78">
        <v>0</v>
      </c>
      <c r="D119" s="78">
        <v>0</v>
      </c>
      <c r="E119">
        <v>93.073360222253186</v>
      </c>
      <c r="F119">
        <v>56.687188195550981</v>
      </c>
      <c r="G119">
        <v>31.241322142489395</v>
      </c>
      <c r="H119">
        <v>32.862944658215049</v>
      </c>
      <c r="I119">
        <v>42.293865208010054</v>
      </c>
      <c r="J119">
        <v>53.698499087256749</v>
      </c>
      <c r="K119">
        <v>84.05877289285992</v>
      </c>
      <c r="L119">
        <v>150.96494087227191</v>
      </c>
      <c r="M119" s="78">
        <v>0</v>
      </c>
    </row>
    <row r="122" spans="1:14">
      <c r="A122" s="493" t="s">
        <v>638</v>
      </c>
    </row>
    <row r="123" spans="1:14">
      <c r="A123" s="1" t="s">
        <v>160</v>
      </c>
    </row>
    <row r="124" spans="1:14">
      <c r="A124" s="1" t="s">
        <v>161</v>
      </c>
      <c r="B124" s="1">
        <v>1</v>
      </c>
      <c r="C124" s="1">
        <v>2</v>
      </c>
      <c r="D124" s="1">
        <v>3</v>
      </c>
      <c r="E124" s="1">
        <v>4</v>
      </c>
      <c r="F124" s="1">
        <v>5</v>
      </c>
      <c r="G124" s="1">
        <v>6</v>
      </c>
      <c r="H124" s="1">
        <v>7</v>
      </c>
      <c r="I124" s="1">
        <v>8</v>
      </c>
      <c r="J124" s="1">
        <v>9</v>
      </c>
      <c r="K124" s="1">
        <v>10</v>
      </c>
      <c r="L124" s="1">
        <v>11</v>
      </c>
      <c r="M124" s="1">
        <v>12</v>
      </c>
    </row>
    <row r="125" spans="1:14">
      <c r="A125" s="1" t="s">
        <v>162</v>
      </c>
      <c r="B125" s="92">
        <v>0</v>
      </c>
      <c r="C125" s="92">
        <v>0</v>
      </c>
      <c r="D125" s="92">
        <v>57.3</v>
      </c>
      <c r="E125" s="92">
        <v>122.2</v>
      </c>
      <c r="F125" s="92">
        <v>206.3</v>
      </c>
      <c r="G125" s="92">
        <v>290.5</v>
      </c>
      <c r="H125" s="92">
        <v>334.4</v>
      </c>
      <c r="I125" s="92">
        <v>285.7</v>
      </c>
      <c r="J125" s="92">
        <v>240.5</v>
      </c>
      <c r="K125" s="92">
        <v>169.9</v>
      </c>
      <c r="L125" s="92">
        <v>105.7</v>
      </c>
      <c r="M125" s="92">
        <v>60.9</v>
      </c>
      <c r="N125" s="78">
        <f>SUM(B125:M125)</f>
        <v>1873.4</v>
      </c>
    </row>
    <row r="126" spans="1:14">
      <c r="A126" s="1"/>
    </row>
    <row r="127" spans="1:14">
      <c r="A127" s="1" t="s">
        <v>163</v>
      </c>
      <c r="B127" s="1" t="s">
        <v>164</v>
      </c>
    </row>
    <row r="128" spans="1:14">
      <c r="A128" s="1" t="s">
        <v>165</v>
      </c>
      <c r="B128">
        <v>0</v>
      </c>
      <c r="C128">
        <v>0</v>
      </c>
      <c r="D128">
        <f t="shared" ref="D128:M128" si="39">+D134*0.0204433</f>
        <v>4.1895687792267777</v>
      </c>
      <c r="E128">
        <f t="shared" si="39"/>
        <v>2.3452028123576008</v>
      </c>
      <c r="F128">
        <f t="shared" si="39"/>
        <v>1.2971031197078542</v>
      </c>
      <c r="G128">
        <f t="shared" si="39"/>
        <v>0.69827247436978357</v>
      </c>
      <c r="H128">
        <f t="shared" si="39"/>
        <v>0.67550101137273399</v>
      </c>
      <c r="I128">
        <f t="shared" si="39"/>
        <v>0.98025353568303064</v>
      </c>
      <c r="J128">
        <f t="shared" si="39"/>
        <v>1.1091112262316458</v>
      </c>
      <c r="K128">
        <f t="shared" si="39"/>
        <v>1.527175647370419</v>
      </c>
      <c r="L128">
        <f t="shared" si="39"/>
        <v>2.0233069675401563</v>
      </c>
      <c r="M128">
        <f t="shared" si="39"/>
        <v>3.3848040745931844</v>
      </c>
    </row>
    <row r="129" spans="1:14">
      <c r="A129" s="1" t="s">
        <v>166</v>
      </c>
      <c r="B129">
        <v>0</v>
      </c>
      <c r="C129">
        <v>0</v>
      </c>
      <c r="D129">
        <f t="shared" ref="D129:M129" si="40">+D135*0.0204433</f>
        <v>3.0583098859538014</v>
      </c>
      <c r="E129">
        <f t="shared" si="40"/>
        <v>1.7384794134255135</v>
      </c>
      <c r="F129">
        <f t="shared" si="40"/>
        <v>0.98425179798158535</v>
      </c>
      <c r="G129">
        <f t="shared" si="40"/>
        <v>0.54103871364344269</v>
      </c>
      <c r="H129">
        <f t="shared" si="40"/>
        <v>0.52060873987081202</v>
      </c>
      <c r="I129">
        <f t="shared" si="40"/>
        <v>0.73716726172102509</v>
      </c>
      <c r="J129">
        <f t="shared" si="40"/>
        <v>0.80986684473023385</v>
      </c>
      <c r="K129">
        <f t="shared" si="40"/>
        <v>1.0455161635183976</v>
      </c>
      <c r="L129">
        <f t="shared" si="40"/>
        <v>1.3122288248867027</v>
      </c>
      <c r="M129">
        <f t="shared" si="40"/>
        <v>2.143253350338135</v>
      </c>
    </row>
    <row r="130" spans="1:14">
      <c r="A130" s="1" t="s">
        <v>167</v>
      </c>
      <c r="B130">
        <v>0</v>
      </c>
      <c r="C130">
        <v>0</v>
      </c>
      <c r="D130">
        <f t="shared" ref="D130:M130" si="41">+D136*0.0204433</f>
        <v>4.2204392860210804</v>
      </c>
      <c r="E130">
        <f t="shared" si="41"/>
        <v>2.3624832541328669</v>
      </c>
      <c r="F130">
        <f t="shared" si="41"/>
        <v>1.3066607216425434</v>
      </c>
      <c r="G130">
        <f t="shared" si="41"/>
        <v>0.70341763997040307</v>
      </c>
      <c r="H130">
        <f t="shared" si="41"/>
        <v>0.68047838724600673</v>
      </c>
      <c r="I130">
        <f t="shared" si="41"/>
        <v>0.98747645647227389</v>
      </c>
      <c r="J130">
        <f t="shared" si="41"/>
        <v>1.117283624740721</v>
      </c>
      <c r="K130">
        <f t="shared" si="41"/>
        <v>1.5384285205615695</v>
      </c>
      <c r="L130">
        <f t="shared" si="41"/>
        <v>2.0382155451957158</v>
      </c>
      <c r="M130">
        <f t="shared" si="41"/>
        <v>3.4097447361954512</v>
      </c>
    </row>
    <row r="131" spans="1:14">
      <c r="A131" s="1" t="s">
        <v>168</v>
      </c>
      <c r="B131">
        <v>0</v>
      </c>
      <c r="C131">
        <v>0</v>
      </c>
      <c r="D131">
        <f t="shared" ref="D131:M131" si="42">+D137*0.0204433</f>
        <v>3.0144406867700377</v>
      </c>
      <c r="E131">
        <f t="shared" si="42"/>
        <v>1.7135422087247378</v>
      </c>
      <c r="F131">
        <f t="shared" si="42"/>
        <v>0.97013343202693125</v>
      </c>
      <c r="G131">
        <f t="shared" si="42"/>
        <v>0.53327791242314737</v>
      </c>
      <c r="H131">
        <f t="shared" si="42"/>
        <v>0.51314099155299298</v>
      </c>
      <c r="I131">
        <f t="shared" si="42"/>
        <v>0.72659314116355145</v>
      </c>
      <c r="J131">
        <f t="shared" si="42"/>
        <v>0.7982499022853331</v>
      </c>
      <c r="K131">
        <f t="shared" si="42"/>
        <v>1.0305190054351419</v>
      </c>
      <c r="L131">
        <f t="shared" si="42"/>
        <v>1.2934058704313605</v>
      </c>
      <c r="M131">
        <f t="shared" si="42"/>
        <v>2.1125099621160719</v>
      </c>
    </row>
    <row r="132" spans="1:14">
      <c r="A132" s="1"/>
    </row>
    <row r="133" spans="1:14">
      <c r="A133" s="1" t="s">
        <v>163</v>
      </c>
      <c r="B133" s="1" t="s">
        <v>169</v>
      </c>
    </row>
    <row r="134" spans="1:14">
      <c r="A134" s="1" t="s">
        <v>165</v>
      </c>
      <c r="B134">
        <v>0</v>
      </c>
      <c r="C134">
        <v>0</v>
      </c>
      <c r="D134">
        <v>204.93603181613426</v>
      </c>
      <c r="E134">
        <v>114.7174288083431</v>
      </c>
      <c r="F134">
        <v>63.448813044266537</v>
      </c>
      <c r="G134">
        <v>34.156543922448115</v>
      </c>
      <c r="H134">
        <v>33.042660009525562</v>
      </c>
      <c r="I134">
        <v>47.94986796080039</v>
      </c>
      <c r="J134">
        <v>54.253042621868566</v>
      </c>
      <c r="K134">
        <v>74.702990582265045</v>
      </c>
      <c r="L134">
        <v>98.971641933550657</v>
      </c>
      <c r="M134">
        <v>165.57033720549933</v>
      </c>
    </row>
    <row r="135" spans="1:14">
      <c r="A135" s="1" t="s">
        <v>166</v>
      </c>
      <c r="B135">
        <v>0</v>
      </c>
      <c r="C135">
        <v>0</v>
      </c>
      <c r="D135">
        <v>149.5996187481376</v>
      </c>
      <c r="E135">
        <v>85.039079474718534</v>
      </c>
      <c r="F135">
        <v>48.145446086570431</v>
      </c>
      <c r="G135">
        <v>26.465331607100744</v>
      </c>
      <c r="H135">
        <v>25.465983469929608</v>
      </c>
      <c r="I135">
        <v>36.059112849736835</v>
      </c>
      <c r="J135">
        <v>39.615269781798133</v>
      </c>
      <c r="K135">
        <v>51.142240417075399</v>
      </c>
      <c r="L135">
        <v>64.188698736833217</v>
      </c>
      <c r="M135">
        <v>104.83891301003924</v>
      </c>
    </row>
    <row r="136" spans="1:14">
      <c r="A136" s="1" t="s">
        <v>167</v>
      </c>
      <c r="B136">
        <v>0</v>
      </c>
      <c r="C136">
        <v>0</v>
      </c>
      <c r="D136">
        <v>206.44608678741105</v>
      </c>
      <c r="E136">
        <v>115.56271512587826</v>
      </c>
      <c r="F136">
        <v>63.916330614066389</v>
      </c>
      <c r="G136">
        <v>34.408223719771421</v>
      </c>
      <c r="H136">
        <v>33.286132241174698</v>
      </c>
      <c r="I136">
        <v>48.303182777353648</v>
      </c>
      <c r="J136">
        <v>54.652801883292859</v>
      </c>
      <c r="K136">
        <v>75.253433670765943</v>
      </c>
      <c r="L136">
        <v>99.700906663587361</v>
      </c>
      <c r="M136">
        <v>166.79032916385569</v>
      </c>
    </row>
    <row r="137" spans="1:14">
      <c r="A137" s="1" t="s">
        <v>168</v>
      </c>
      <c r="B137">
        <v>0</v>
      </c>
      <c r="C137">
        <v>0</v>
      </c>
      <c r="D137">
        <v>147.45372257757003</v>
      </c>
      <c r="E137">
        <v>83.819256613400853</v>
      </c>
      <c r="F137">
        <v>47.45483517959093</v>
      </c>
      <c r="G137">
        <v>26.085705948802165</v>
      </c>
      <c r="H137">
        <v>25.100692723434715</v>
      </c>
      <c r="I137">
        <v>35.541871476892254</v>
      </c>
      <c r="J137">
        <v>39.047017961157593</v>
      </c>
      <c r="K137">
        <v>50.408642706174732</v>
      </c>
      <c r="L137">
        <v>63.267959205772087</v>
      </c>
      <c r="M137">
        <v>103.33507614309195</v>
      </c>
    </row>
    <row r="141" spans="1:14">
      <c r="A141" s="493" t="s">
        <v>639</v>
      </c>
    </row>
    <row r="142" spans="1:14">
      <c r="A142" s="1" t="s">
        <v>160</v>
      </c>
    </row>
    <row r="143" spans="1:14">
      <c r="A143" s="1" t="s">
        <v>161</v>
      </c>
      <c r="B143" s="1">
        <v>1</v>
      </c>
      <c r="C143" s="1">
        <v>2</v>
      </c>
      <c r="D143" s="1">
        <v>3</v>
      </c>
      <c r="E143" s="1">
        <v>4</v>
      </c>
      <c r="F143" s="1">
        <v>5</v>
      </c>
      <c r="G143" s="1">
        <v>6</v>
      </c>
      <c r="H143" s="1">
        <v>7</v>
      </c>
      <c r="I143" s="1">
        <v>8</v>
      </c>
      <c r="J143" s="1">
        <v>9</v>
      </c>
      <c r="K143" s="1">
        <v>10</v>
      </c>
      <c r="L143" s="1">
        <v>11</v>
      </c>
      <c r="M143" s="1">
        <v>12</v>
      </c>
    </row>
    <row r="144" spans="1:14">
      <c r="A144" s="1" t="s">
        <v>162</v>
      </c>
      <c r="B144" s="91">
        <v>0</v>
      </c>
      <c r="C144" s="91">
        <v>0</v>
      </c>
      <c r="D144" s="91">
        <v>35.80209374999999</v>
      </c>
      <c r="E144" s="91">
        <v>117.30743749999999</v>
      </c>
      <c r="F144" s="91">
        <v>223.96066249999998</v>
      </c>
      <c r="G144" s="91">
        <v>292.69574999999992</v>
      </c>
      <c r="H144" s="91">
        <v>319.31614583333328</v>
      </c>
      <c r="I144" s="91">
        <v>265.74969583333336</v>
      </c>
      <c r="J144" s="91">
        <v>183.85950000000003</v>
      </c>
      <c r="K144" s="91">
        <v>107.86947291666668</v>
      </c>
      <c r="L144" s="91">
        <v>53.987437499999999</v>
      </c>
      <c r="M144" s="91">
        <v>0</v>
      </c>
      <c r="N144" s="91">
        <v>1636.7042437499997</v>
      </c>
    </row>
    <row r="145" spans="1:13">
      <c r="A145" s="1"/>
    </row>
    <row r="146" spans="1:13">
      <c r="A146" s="1" t="s">
        <v>163</v>
      </c>
      <c r="B146" s="1" t="s">
        <v>164</v>
      </c>
    </row>
    <row r="147" spans="1:13">
      <c r="A147" s="1" t="s">
        <v>165</v>
      </c>
      <c r="B147">
        <f t="shared" ref="B147:M147" si="43">+B153*0.0204433</f>
        <v>0</v>
      </c>
      <c r="C147">
        <f t="shared" si="43"/>
        <v>0</v>
      </c>
      <c r="D147">
        <f t="shared" si="43"/>
        <v>7.7264953685664928</v>
      </c>
      <c r="E147">
        <f t="shared" si="43"/>
        <v>2.3280951734360147</v>
      </c>
      <c r="F147">
        <f t="shared" si="43"/>
        <v>1.2794575256898832</v>
      </c>
      <c r="G147">
        <f t="shared" si="43"/>
        <v>0.71336612574239588</v>
      </c>
      <c r="H147">
        <f t="shared" si="43"/>
        <v>0.85899585472898421</v>
      </c>
      <c r="I147">
        <f t="shared" si="43"/>
        <v>1.1045532438191397</v>
      </c>
      <c r="J147">
        <f t="shared" si="43"/>
        <v>1.475784986795464</v>
      </c>
      <c r="K147">
        <f t="shared" si="43"/>
        <v>2.349339942950408</v>
      </c>
      <c r="L147">
        <f t="shared" si="43"/>
        <v>3.8205401695116041</v>
      </c>
      <c r="M147">
        <f t="shared" si="43"/>
        <v>0</v>
      </c>
    </row>
    <row r="148" spans="1:13">
      <c r="A148" s="1" t="s">
        <v>166</v>
      </c>
      <c r="B148">
        <f t="shared" ref="B148:M148" si="44">+B154*0.0204433</f>
        <v>0</v>
      </c>
      <c r="C148">
        <f t="shared" si="44"/>
        <v>0</v>
      </c>
      <c r="D148">
        <f t="shared" si="44"/>
        <v>5.4611201706222721</v>
      </c>
      <c r="E148">
        <f t="shared" si="44"/>
        <v>1.7287020147657122</v>
      </c>
      <c r="F148">
        <f t="shared" si="44"/>
        <v>0.96328018385169811</v>
      </c>
      <c r="G148">
        <f t="shared" si="44"/>
        <v>0.55165312262164479</v>
      </c>
      <c r="H148">
        <f t="shared" si="44"/>
        <v>0.64997306643351516</v>
      </c>
      <c r="I148">
        <f t="shared" si="44"/>
        <v>0.82416161931750898</v>
      </c>
      <c r="J148">
        <f t="shared" si="44"/>
        <v>1.0677612997634889</v>
      </c>
      <c r="K148">
        <f t="shared" si="44"/>
        <v>1.5983665336902069</v>
      </c>
      <c r="L148">
        <f t="shared" si="44"/>
        <v>2.4972259835257105</v>
      </c>
      <c r="M148">
        <f t="shared" si="44"/>
        <v>0</v>
      </c>
    </row>
    <row r="149" spans="1:13">
      <c r="A149" s="1" t="s">
        <v>167</v>
      </c>
      <c r="B149">
        <f t="shared" ref="B149:M149" si="45">+B155*0.0204433</f>
        <v>0</v>
      </c>
      <c r="C149">
        <f t="shared" si="45"/>
        <v>0</v>
      </c>
      <c r="D149">
        <f t="shared" si="45"/>
        <v>7.7834274397032965</v>
      </c>
      <c r="E149">
        <f t="shared" si="45"/>
        <v>2.3452495589244911</v>
      </c>
      <c r="F149">
        <f t="shared" si="45"/>
        <v>1.2888851074581245</v>
      </c>
      <c r="G149">
        <f t="shared" si="45"/>
        <v>0.71862250772155045</v>
      </c>
      <c r="H149">
        <f t="shared" si="45"/>
        <v>0.86532529786909262</v>
      </c>
      <c r="I149">
        <f t="shared" si="45"/>
        <v>1.1126920571946493</v>
      </c>
      <c r="J149">
        <f t="shared" si="45"/>
        <v>1.4866591919613255</v>
      </c>
      <c r="K149">
        <f t="shared" si="45"/>
        <v>2.3666508688458321</v>
      </c>
      <c r="L149">
        <f t="shared" si="45"/>
        <v>3.8486915181290575</v>
      </c>
      <c r="M149">
        <f t="shared" si="45"/>
        <v>0</v>
      </c>
    </row>
    <row r="150" spans="1:13">
      <c r="A150" s="1" t="s">
        <v>168</v>
      </c>
      <c r="B150">
        <f t="shared" ref="B150:M150" si="46">+B156*0.0204433</f>
        <v>0</v>
      </c>
      <c r="C150">
        <f t="shared" si="46"/>
        <v>0</v>
      </c>
      <c r="D150">
        <f t="shared" si="46"/>
        <v>5.3827844304699033</v>
      </c>
      <c r="E150">
        <f t="shared" si="46"/>
        <v>1.703905059635876</v>
      </c>
      <c r="F150">
        <f t="shared" si="46"/>
        <v>0.94946264023087457</v>
      </c>
      <c r="G150">
        <f t="shared" si="46"/>
        <v>0.54374006553485887</v>
      </c>
      <c r="H150">
        <f t="shared" si="46"/>
        <v>0.6406496822838541</v>
      </c>
      <c r="I150">
        <f t="shared" si="46"/>
        <v>0.81233962887647926</v>
      </c>
      <c r="J150">
        <f t="shared" si="46"/>
        <v>1.0524450516111439</v>
      </c>
      <c r="K150">
        <f t="shared" si="46"/>
        <v>1.5754391448872738</v>
      </c>
      <c r="L150">
        <f t="shared" si="46"/>
        <v>2.4614051190079236</v>
      </c>
      <c r="M150">
        <f t="shared" si="46"/>
        <v>0</v>
      </c>
    </row>
    <row r="151" spans="1:13">
      <c r="A151" s="1"/>
    </row>
    <row r="152" spans="1:13">
      <c r="A152" s="1" t="s">
        <v>163</v>
      </c>
      <c r="B152" s="1" t="s">
        <v>169</v>
      </c>
    </row>
    <row r="153" spans="1:13">
      <c r="A153" s="1" t="s">
        <v>165</v>
      </c>
      <c r="B153" s="78">
        <v>0</v>
      </c>
      <c r="C153" s="78">
        <v>0</v>
      </c>
      <c r="D153">
        <v>377.94756074442444</v>
      </c>
      <c r="E153">
        <v>113.88059527747549</v>
      </c>
      <c r="F153">
        <v>62.585665019340475</v>
      </c>
      <c r="G153">
        <v>34.894861678026338</v>
      </c>
      <c r="H153">
        <v>42.018453709967773</v>
      </c>
      <c r="I153">
        <v>54.030085349192142</v>
      </c>
      <c r="J153">
        <v>72.189176248231149</v>
      </c>
      <c r="K153">
        <v>114.91979978527968</v>
      </c>
      <c r="L153">
        <v>186.88470890275073</v>
      </c>
      <c r="M153" s="78">
        <v>0</v>
      </c>
    </row>
    <row r="154" spans="1:13">
      <c r="A154" s="1" t="s">
        <v>166</v>
      </c>
      <c r="B154" s="78">
        <v>0</v>
      </c>
      <c r="C154" s="78">
        <v>0</v>
      </c>
      <c r="D154">
        <v>267.13496209625021</v>
      </c>
      <c r="E154">
        <v>84.560810376295024</v>
      </c>
      <c r="F154">
        <v>47.119603187924554</v>
      </c>
      <c r="G154">
        <v>26.984543719538664</v>
      </c>
      <c r="H154">
        <v>31.793940627663591</v>
      </c>
      <c r="I154">
        <v>40.314509854940688</v>
      </c>
      <c r="J154">
        <v>52.230378645496998</v>
      </c>
      <c r="K154">
        <v>78.185348436417158</v>
      </c>
      <c r="L154">
        <v>122.15376106233877</v>
      </c>
      <c r="M154" s="78">
        <v>0</v>
      </c>
    </row>
    <row r="155" spans="1:13">
      <c r="A155" s="1" t="s">
        <v>167</v>
      </c>
      <c r="B155" s="78">
        <v>0</v>
      </c>
      <c r="C155" s="78">
        <v>0</v>
      </c>
      <c r="D155">
        <v>380.73243750780432</v>
      </c>
      <c r="E155">
        <v>114.71971545320427</v>
      </c>
      <c r="F155">
        <v>63.046822551061929</v>
      </c>
      <c r="G155">
        <v>35.151981711443376</v>
      </c>
      <c r="H155">
        <v>42.328063368883328</v>
      </c>
      <c r="I155">
        <v>54.428201767554611</v>
      </c>
      <c r="J155">
        <v>72.721096494270753</v>
      </c>
      <c r="K155">
        <v>115.76657725738173</v>
      </c>
      <c r="L155">
        <v>188.26175412624465</v>
      </c>
      <c r="M155" s="78">
        <v>0</v>
      </c>
    </row>
    <row r="156" spans="1:13">
      <c r="A156" s="1" t="s">
        <v>168</v>
      </c>
      <c r="B156" s="78">
        <v>0</v>
      </c>
      <c r="C156" s="78">
        <v>0</v>
      </c>
      <c r="D156">
        <v>263.30310813175481</v>
      </c>
      <c r="E156">
        <v>83.347847932372758</v>
      </c>
      <c r="F156">
        <v>46.443707240556783</v>
      </c>
      <c r="G156">
        <v>26.597470346512495</v>
      </c>
      <c r="H156">
        <v>31.337880003906122</v>
      </c>
      <c r="I156">
        <v>39.736227951283759</v>
      </c>
      <c r="J156">
        <v>51.481172394434545</v>
      </c>
      <c r="K156">
        <v>77.063837290812813</v>
      </c>
      <c r="L156">
        <v>120.40155547332981</v>
      </c>
      <c r="M156" s="78">
        <v>0</v>
      </c>
    </row>
    <row r="159" spans="1:13">
      <c r="A159" s="493" t="s">
        <v>640</v>
      </c>
    </row>
    <row r="160" spans="1:13">
      <c r="A160" s="1" t="s">
        <v>160</v>
      </c>
    </row>
    <row r="161" spans="1:14">
      <c r="A161" s="1" t="s">
        <v>161</v>
      </c>
      <c r="B161" s="1">
        <v>1</v>
      </c>
      <c r="C161" s="1">
        <v>2</v>
      </c>
      <c r="D161" s="1">
        <v>3</v>
      </c>
      <c r="E161" s="1">
        <v>4</v>
      </c>
      <c r="F161" s="1">
        <v>5</v>
      </c>
      <c r="G161" s="1">
        <v>6</v>
      </c>
      <c r="H161" s="1">
        <v>7</v>
      </c>
      <c r="I161" s="1">
        <v>8</v>
      </c>
      <c r="J161" s="1">
        <v>9</v>
      </c>
      <c r="K161" s="1">
        <v>10</v>
      </c>
      <c r="L161" s="1">
        <v>11</v>
      </c>
      <c r="M161" s="1">
        <v>12</v>
      </c>
    </row>
    <row r="162" spans="1:14">
      <c r="A162" s="1" t="s">
        <v>162</v>
      </c>
      <c r="B162" s="91">
        <v>0</v>
      </c>
      <c r="C162" s="91">
        <v>0</v>
      </c>
      <c r="D162" s="91">
        <v>0.38750000000000095</v>
      </c>
      <c r="E162" s="91">
        <v>36.01574999999999</v>
      </c>
      <c r="F162" s="91">
        <v>114.16647708333333</v>
      </c>
      <c r="G162" s="91">
        <v>158.73737499999999</v>
      </c>
      <c r="H162" s="91">
        <v>180.24846666666662</v>
      </c>
      <c r="I162" s="91">
        <v>151.53807499999996</v>
      </c>
      <c r="J162" s="91">
        <v>101.87031250000003</v>
      </c>
      <c r="K162" s="91">
        <v>38.251610416666679</v>
      </c>
      <c r="L162" s="91">
        <v>9.0644375000000075</v>
      </c>
      <c r="M162" s="91">
        <v>0.12916666666666848</v>
      </c>
      <c r="N162" s="91">
        <v>790.40917083333352</v>
      </c>
    </row>
    <row r="163" spans="1:14">
      <c r="A163" s="1"/>
    </row>
    <row r="164" spans="1:14">
      <c r="A164" s="1" t="s">
        <v>163</v>
      </c>
      <c r="B164" s="1" t="s">
        <v>164</v>
      </c>
    </row>
    <row r="165" spans="1:14">
      <c r="A165" s="1" t="s">
        <v>165</v>
      </c>
      <c r="B165">
        <f t="shared" ref="B165:L165" si="47">+B171*0.0204433</f>
        <v>0</v>
      </c>
      <c r="C165">
        <f t="shared" si="47"/>
        <v>0</v>
      </c>
      <c r="D165">
        <f t="shared" si="47"/>
        <v>0</v>
      </c>
      <c r="E165">
        <f t="shared" si="47"/>
        <v>6.3454637127671489</v>
      </c>
      <c r="F165">
        <f t="shared" si="47"/>
        <v>2.7842096779957801</v>
      </c>
      <c r="G165">
        <f t="shared" si="47"/>
        <v>1.8523504053078712</v>
      </c>
      <c r="H165">
        <f t="shared" si="47"/>
        <v>1.6299979246373297</v>
      </c>
      <c r="I165">
        <f t="shared" si="47"/>
        <v>1.6831415258087865</v>
      </c>
      <c r="J165">
        <f t="shared" si="47"/>
        <v>2.2166329739110155</v>
      </c>
      <c r="K165">
        <f t="shared" si="47"/>
        <v>5.1079702752739689</v>
      </c>
      <c r="L165">
        <f t="shared" si="47"/>
        <v>0</v>
      </c>
      <c r="M165">
        <f>+M171*0.0204433</f>
        <v>0</v>
      </c>
    </row>
    <row r="166" spans="1:14">
      <c r="A166" s="1" t="s">
        <v>166</v>
      </c>
      <c r="B166">
        <f t="shared" ref="B166:M166" si="48">+B172*0.0204433</f>
        <v>0</v>
      </c>
      <c r="C166">
        <f t="shared" si="48"/>
        <v>0</v>
      </c>
      <c r="D166">
        <f t="shared" si="48"/>
        <v>0</v>
      </c>
      <c r="E166">
        <f t="shared" si="48"/>
        <v>4.6872727896799358</v>
      </c>
      <c r="F166">
        <f t="shared" si="48"/>
        <v>2.0456033316177078</v>
      </c>
      <c r="G166">
        <f t="shared" si="48"/>
        <v>1.3800066051332749</v>
      </c>
      <c r="H166">
        <f t="shared" si="48"/>
        <v>1.2152029027583169</v>
      </c>
      <c r="I166">
        <f t="shared" si="48"/>
        <v>1.2498398168796718</v>
      </c>
      <c r="J166">
        <f t="shared" si="48"/>
        <v>1.5840851435509733</v>
      </c>
      <c r="K166">
        <f t="shared" si="48"/>
        <v>3.5540928384530099</v>
      </c>
      <c r="L166">
        <f t="shared" si="48"/>
        <v>0</v>
      </c>
      <c r="M166">
        <f t="shared" si="48"/>
        <v>0</v>
      </c>
    </row>
    <row r="167" spans="1:14">
      <c r="A167" s="1" t="s">
        <v>167</v>
      </c>
      <c r="B167">
        <f t="shared" ref="B167:M167" si="49">+B173*0.0204433</f>
        <v>0</v>
      </c>
      <c r="C167">
        <f t="shared" si="49"/>
        <v>0</v>
      </c>
      <c r="D167">
        <f t="shared" si="49"/>
        <v>0</v>
      </c>
      <c r="E167">
        <f t="shared" si="49"/>
        <v>6.3922197611770111</v>
      </c>
      <c r="F167">
        <f t="shared" si="49"/>
        <v>2.8047249072020652</v>
      </c>
      <c r="G167">
        <f t="shared" si="49"/>
        <v>1.8659993030311925</v>
      </c>
      <c r="H167">
        <f t="shared" si="49"/>
        <v>1.6420084356609734</v>
      </c>
      <c r="I167">
        <f t="shared" si="49"/>
        <v>1.6955436212621142</v>
      </c>
      <c r="J167">
        <f t="shared" si="49"/>
        <v>2.2329660589819387</v>
      </c>
      <c r="K167">
        <f t="shared" si="49"/>
        <v>5.1456079509865136</v>
      </c>
      <c r="L167">
        <f t="shared" si="49"/>
        <v>0</v>
      </c>
      <c r="M167">
        <f t="shared" si="49"/>
        <v>0</v>
      </c>
    </row>
    <row r="168" spans="1:14">
      <c r="A168" s="1" t="s">
        <v>168</v>
      </c>
      <c r="B168">
        <f t="shared" ref="B168:M168" si="50">+B174*0.0204433</f>
        <v>0</v>
      </c>
      <c r="C168">
        <f t="shared" si="50"/>
        <v>0</v>
      </c>
      <c r="D168">
        <f t="shared" si="50"/>
        <v>0</v>
      </c>
      <c r="E168">
        <f t="shared" si="50"/>
        <v>4.6200373193361663</v>
      </c>
      <c r="F168">
        <f t="shared" si="50"/>
        <v>2.0162606608772897</v>
      </c>
      <c r="G168">
        <f t="shared" si="50"/>
        <v>1.3602114284202977</v>
      </c>
      <c r="H168">
        <f t="shared" si="50"/>
        <v>1.1977717135794066</v>
      </c>
      <c r="I168">
        <f t="shared" si="50"/>
        <v>1.2319117867195126</v>
      </c>
      <c r="J168">
        <f t="shared" si="50"/>
        <v>1.5613626107541356</v>
      </c>
      <c r="K168">
        <f t="shared" si="50"/>
        <v>3.5031119985571668</v>
      </c>
      <c r="L168">
        <f t="shared" si="50"/>
        <v>0</v>
      </c>
      <c r="M168">
        <f t="shared" si="50"/>
        <v>0</v>
      </c>
    </row>
    <row r="169" spans="1:14">
      <c r="A169" s="1"/>
    </row>
    <row r="170" spans="1:14">
      <c r="A170" s="1" t="s">
        <v>163</v>
      </c>
      <c r="B170" s="1" t="s">
        <v>169</v>
      </c>
    </row>
    <row r="171" spans="1:14">
      <c r="A171" s="1" t="s">
        <v>165</v>
      </c>
      <c r="B171" s="78">
        <v>0</v>
      </c>
      <c r="C171" s="78">
        <v>0</v>
      </c>
      <c r="D171" s="78">
        <v>0</v>
      </c>
      <c r="E171">
        <v>310.39331775041938</v>
      </c>
      <c r="F171">
        <v>136.19179281210862</v>
      </c>
      <c r="G171">
        <v>90.609168055444627</v>
      </c>
      <c r="H171">
        <v>79.732622650811251</v>
      </c>
      <c r="I171">
        <v>82.332183444394317</v>
      </c>
      <c r="J171">
        <v>108.42833465785931</v>
      </c>
      <c r="K171">
        <v>249.86035890849169</v>
      </c>
      <c r="L171" s="78">
        <v>0</v>
      </c>
      <c r="M171" s="78">
        <v>0</v>
      </c>
    </row>
    <row r="172" spans="1:14">
      <c r="A172" s="1" t="s">
        <v>166</v>
      </c>
      <c r="B172" s="78">
        <v>0</v>
      </c>
      <c r="C172" s="78">
        <v>0</v>
      </c>
      <c r="D172" s="78">
        <v>0</v>
      </c>
      <c r="E172">
        <v>229.28161254200327</v>
      </c>
      <c r="F172">
        <v>100.06228601144177</v>
      </c>
      <c r="G172">
        <v>67.504101839393584</v>
      </c>
      <c r="H172">
        <v>59.442599910890941</v>
      </c>
      <c r="I172">
        <v>61.136891640766009</v>
      </c>
      <c r="J172">
        <v>77.486763074013155</v>
      </c>
      <c r="K172">
        <v>173.85122942250075</v>
      </c>
      <c r="L172" s="78">
        <v>0</v>
      </c>
      <c r="M172" s="78">
        <v>0</v>
      </c>
    </row>
    <row r="173" spans="1:14">
      <c r="A173" s="1" t="s">
        <v>167</v>
      </c>
      <c r="B173" s="78">
        <v>0</v>
      </c>
      <c r="C173" s="78">
        <v>0</v>
      </c>
      <c r="D173" s="78">
        <v>0</v>
      </c>
      <c r="E173">
        <v>312.6804264075277</v>
      </c>
      <c r="F173">
        <v>137.195311285461</v>
      </c>
      <c r="G173">
        <v>91.276814556905805</v>
      </c>
      <c r="H173">
        <v>80.320126186133024</v>
      </c>
      <c r="I173">
        <v>82.938841638195115</v>
      </c>
      <c r="J173">
        <v>109.22728028165406</v>
      </c>
      <c r="K173">
        <v>251.70143523729109</v>
      </c>
      <c r="L173" s="78">
        <v>0</v>
      </c>
      <c r="M173" s="78">
        <v>0</v>
      </c>
    </row>
    <row r="174" spans="1:14">
      <c r="A174" s="1" t="s">
        <v>168</v>
      </c>
      <c r="B174" s="78">
        <v>0</v>
      </c>
      <c r="C174" s="78">
        <v>0</v>
      </c>
      <c r="D174" s="78">
        <v>0</v>
      </c>
      <c r="E174">
        <v>225.99273695226142</v>
      </c>
      <c r="F174">
        <v>98.626966335048138</v>
      </c>
      <c r="G174">
        <v>66.535805296615408</v>
      </c>
      <c r="H174">
        <v>58.589939666267504</v>
      </c>
      <c r="I174">
        <v>60.259928031164861</v>
      </c>
      <c r="J174">
        <v>76.37527262008264</v>
      </c>
      <c r="K174">
        <v>171.35746178734189</v>
      </c>
      <c r="L174" s="78">
        <v>0</v>
      </c>
      <c r="M174" s="78">
        <v>0</v>
      </c>
    </row>
    <row r="177" spans="1:14">
      <c r="A177" s="492" t="s">
        <v>641</v>
      </c>
    </row>
    <row r="178" spans="1:14">
      <c r="A178" s="1" t="s">
        <v>160</v>
      </c>
    </row>
    <row r="179" spans="1:14">
      <c r="A179" s="1" t="s">
        <v>161</v>
      </c>
      <c r="B179" s="1">
        <v>1</v>
      </c>
      <c r="C179" s="1">
        <v>2</v>
      </c>
      <c r="D179" s="1">
        <v>3</v>
      </c>
      <c r="E179" s="1">
        <v>4</v>
      </c>
      <c r="F179" s="1">
        <v>5</v>
      </c>
      <c r="G179" s="1">
        <v>6</v>
      </c>
      <c r="H179" s="1">
        <v>7</v>
      </c>
      <c r="I179" s="1">
        <v>8</v>
      </c>
      <c r="J179" s="1">
        <v>9</v>
      </c>
      <c r="K179" s="1">
        <v>10</v>
      </c>
      <c r="L179" s="1">
        <v>11</v>
      </c>
      <c r="M179" s="1">
        <v>12</v>
      </c>
    </row>
    <row r="180" spans="1:14">
      <c r="A180" s="1" t="s">
        <v>162</v>
      </c>
      <c r="B180" s="477">
        <v>0</v>
      </c>
      <c r="C180" s="477">
        <v>0</v>
      </c>
      <c r="D180" s="477">
        <v>0.25833333333333242</v>
      </c>
      <c r="E180" s="477">
        <v>41.091312500000008</v>
      </c>
      <c r="F180" s="477">
        <v>113.67835625000002</v>
      </c>
      <c r="G180" s="477">
        <v>155.54200000000003</v>
      </c>
      <c r="H180" s="477">
        <v>179.82415416666663</v>
      </c>
      <c r="I180" s="477">
        <v>147.31820000000002</v>
      </c>
      <c r="J180" s="477">
        <v>103.40131249999999</v>
      </c>
      <c r="K180" s="477">
        <v>45.622829166666655</v>
      </c>
      <c r="L180" s="477">
        <v>15.407249999999998</v>
      </c>
      <c r="M180" s="477">
        <v>0.57763333333333167</v>
      </c>
      <c r="N180" s="78">
        <v>802.72138125000004</v>
      </c>
    </row>
    <row r="181" spans="1:14">
      <c r="A181" s="1"/>
    </row>
    <row r="182" spans="1:14">
      <c r="A182" s="1" t="s">
        <v>163</v>
      </c>
      <c r="B182" s="1" t="s">
        <v>164</v>
      </c>
    </row>
    <row r="183" spans="1:14">
      <c r="A183" s="1" t="s">
        <v>165</v>
      </c>
      <c r="B183">
        <f>+B189*0.0204433</f>
        <v>0</v>
      </c>
      <c r="C183">
        <f t="shared" ref="C183:M183" si="51">+C189*0.0204433</f>
        <v>0</v>
      </c>
      <c r="D183">
        <f t="shared" si="51"/>
        <v>0</v>
      </c>
      <c r="E183">
        <f t="shared" si="51"/>
        <v>6.9946410644091319</v>
      </c>
      <c r="F183">
        <f t="shared" si="51"/>
        <v>2.3789912999011125</v>
      </c>
      <c r="G183">
        <f t="shared" si="51"/>
        <v>1.6257996634668805</v>
      </c>
      <c r="H183">
        <f t="shared" si="51"/>
        <v>1.4188593416149222</v>
      </c>
      <c r="I183">
        <f t="shared" si="51"/>
        <v>1.8448560403906102</v>
      </c>
      <c r="J183">
        <f t="shared" si="51"/>
        <v>2.307731992126056</v>
      </c>
      <c r="K183">
        <f t="shared" si="51"/>
        <v>4.7043886055517126</v>
      </c>
      <c r="L183">
        <f t="shared" si="51"/>
        <v>0</v>
      </c>
      <c r="M183">
        <f t="shared" si="51"/>
        <v>0</v>
      </c>
    </row>
    <row r="184" spans="1:14">
      <c r="A184" s="1" t="s">
        <v>166</v>
      </c>
      <c r="B184">
        <f t="shared" ref="B184:M184" si="52">+B190*0.0204433</f>
        <v>0</v>
      </c>
      <c r="C184">
        <f t="shared" si="52"/>
        <v>0</v>
      </c>
      <c r="D184">
        <f t="shared" si="52"/>
        <v>0</v>
      </c>
      <c r="E184">
        <f t="shared" si="52"/>
        <v>5.0441827423297276</v>
      </c>
      <c r="F184">
        <f t="shared" si="52"/>
        <v>1.7881541987783895</v>
      </c>
      <c r="G184">
        <f t="shared" si="52"/>
        <v>1.2332127229592689</v>
      </c>
      <c r="H184">
        <f t="shared" si="52"/>
        <v>1.0767751782269748</v>
      </c>
      <c r="I184">
        <f t="shared" si="52"/>
        <v>1.3676697392475563</v>
      </c>
      <c r="J184">
        <f t="shared" si="52"/>
        <v>1.6508525834204466</v>
      </c>
      <c r="K184">
        <f t="shared" si="52"/>
        <v>3.2058116279320146</v>
      </c>
      <c r="L184">
        <f t="shared" si="52"/>
        <v>0</v>
      </c>
      <c r="M184">
        <f t="shared" si="52"/>
        <v>0</v>
      </c>
    </row>
    <row r="185" spans="1:14">
      <c r="A185" s="1" t="s">
        <v>167</v>
      </c>
      <c r="B185">
        <f t="shared" ref="B185:M185" si="53">+B191*0.0204433</f>
        <v>0</v>
      </c>
      <c r="C185">
        <f t="shared" si="53"/>
        <v>0</v>
      </c>
      <c r="D185">
        <f t="shared" si="53"/>
        <v>0</v>
      </c>
      <c r="E185">
        <f t="shared" si="53"/>
        <v>7.0461805248837264</v>
      </c>
      <c r="F185">
        <f t="shared" si="53"/>
        <v>2.3965207094793315</v>
      </c>
      <c r="G185">
        <f t="shared" si="53"/>
        <v>1.6377792399345312</v>
      </c>
      <c r="H185">
        <f t="shared" si="53"/>
        <v>1.4293140946584009</v>
      </c>
      <c r="I185">
        <f t="shared" si="53"/>
        <v>1.858449716477699</v>
      </c>
      <c r="J185">
        <f t="shared" si="53"/>
        <v>2.324736333120669</v>
      </c>
      <c r="K185">
        <f t="shared" si="53"/>
        <v>4.7390525215926198</v>
      </c>
      <c r="L185">
        <f t="shared" si="53"/>
        <v>0</v>
      </c>
      <c r="M185">
        <f t="shared" si="53"/>
        <v>0</v>
      </c>
    </row>
    <row r="186" spans="1:14">
      <c r="A186" s="1" t="s">
        <v>168</v>
      </c>
      <c r="B186">
        <f t="shared" ref="B186:M186" si="54">+B192*0.0204433</f>
        <v>0</v>
      </c>
      <c r="C186">
        <f t="shared" si="54"/>
        <v>0</v>
      </c>
      <c r="D186">
        <f t="shared" si="54"/>
        <v>0</v>
      </c>
      <c r="E186">
        <f t="shared" si="54"/>
        <v>4.9718276620094253</v>
      </c>
      <c r="F186">
        <f t="shared" si="54"/>
        <v>1.7625044459270598</v>
      </c>
      <c r="G186">
        <f t="shared" si="54"/>
        <v>1.2155231961955089</v>
      </c>
      <c r="H186">
        <f t="shared" si="54"/>
        <v>1.0613296326376536</v>
      </c>
      <c r="I186">
        <f t="shared" si="54"/>
        <v>1.3480515257747427</v>
      </c>
      <c r="J186">
        <f t="shared" si="54"/>
        <v>1.62717232095335</v>
      </c>
      <c r="K186">
        <f t="shared" si="54"/>
        <v>3.1598266250723341</v>
      </c>
      <c r="L186">
        <f t="shared" si="54"/>
        <v>0</v>
      </c>
      <c r="M186">
        <f t="shared" si="54"/>
        <v>0</v>
      </c>
    </row>
    <row r="187" spans="1:14">
      <c r="A187" s="1"/>
    </row>
    <row r="188" spans="1:14">
      <c r="A188" s="1" t="s">
        <v>163</v>
      </c>
      <c r="B188" s="1" t="s">
        <v>169</v>
      </c>
    </row>
    <row r="189" spans="1:14">
      <c r="A189" s="1" t="s">
        <v>165</v>
      </c>
      <c r="B189">
        <v>0</v>
      </c>
      <c r="C189">
        <v>0</v>
      </c>
      <c r="D189">
        <v>0</v>
      </c>
      <c r="E189" s="479">
        <v>342.148335367046</v>
      </c>
      <c r="F189" s="479">
        <v>116.37021908894907</v>
      </c>
      <c r="G189" s="479">
        <v>79.527261423883644</v>
      </c>
      <c r="H189" s="479">
        <v>69.404613815524996</v>
      </c>
      <c r="I189" s="479">
        <v>90.242575337181876</v>
      </c>
      <c r="J189" s="479">
        <v>112.88451434582753</v>
      </c>
      <c r="K189" s="479">
        <v>230.11884605478139</v>
      </c>
      <c r="L189">
        <v>0</v>
      </c>
      <c r="M189">
        <v>0</v>
      </c>
    </row>
    <row r="190" spans="1:14">
      <c r="A190" s="1" t="s">
        <v>166</v>
      </c>
      <c r="B190">
        <v>0</v>
      </c>
      <c r="C190">
        <v>0</v>
      </c>
      <c r="D190">
        <v>0</v>
      </c>
      <c r="E190" s="479">
        <v>246.74014187189582</v>
      </c>
      <c r="F190" s="479">
        <v>87.468960430967087</v>
      </c>
      <c r="G190" s="479">
        <v>60.323564344272633</v>
      </c>
      <c r="H190" s="479">
        <v>52.671299556675038</v>
      </c>
      <c r="I190" s="479">
        <v>66.900634400882254</v>
      </c>
      <c r="J190" s="479">
        <v>80.752744587246013</v>
      </c>
      <c r="K190" s="479">
        <v>156.81478175891439</v>
      </c>
      <c r="L190">
        <v>0</v>
      </c>
      <c r="M190">
        <v>0</v>
      </c>
    </row>
    <row r="191" spans="1:14">
      <c r="A191" s="1" t="s">
        <v>167</v>
      </c>
      <c r="B191">
        <v>0</v>
      </c>
      <c r="C191">
        <v>0</v>
      </c>
      <c r="D191">
        <v>0</v>
      </c>
      <c r="E191" s="479">
        <v>344.66942836448743</v>
      </c>
      <c r="F191" s="479">
        <v>117.22768386118344</v>
      </c>
      <c r="G191" s="479">
        <v>80.11325177121752</v>
      </c>
      <c r="H191" s="479">
        <v>69.916016233113083</v>
      </c>
      <c r="I191" s="479">
        <v>90.907520629140052</v>
      </c>
      <c r="J191" s="479">
        <v>113.71629497784942</v>
      </c>
      <c r="K191" s="479">
        <v>231.81445860465874</v>
      </c>
      <c r="L191">
        <v>0</v>
      </c>
      <c r="M191">
        <v>0</v>
      </c>
    </row>
    <row r="192" spans="1:14">
      <c r="A192" s="1" t="s">
        <v>168</v>
      </c>
      <c r="B192">
        <v>0</v>
      </c>
      <c r="C192">
        <v>0</v>
      </c>
      <c r="D192">
        <v>0</v>
      </c>
      <c r="E192" s="479">
        <v>243.20083655815964</v>
      </c>
      <c r="F192" s="479">
        <v>86.214282719867128</v>
      </c>
      <c r="G192" s="479">
        <v>59.458267314744134</v>
      </c>
      <c r="H192" s="479">
        <v>51.915768620411257</v>
      </c>
      <c r="I192" s="479">
        <v>65.940994153328603</v>
      </c>
      <c r="J192" s="479">
        <v>79.594406037838795</v>
      </c>
      <c r="K192" s="479">
        <v>154.56538939761847</v>
      </c>
      <c r="L192">
        <v>0</v>
      </c>
      <c r="M192">
        <v>0</v>
      </c>
    </row>
    <row r="193" spans="1:1">
      <c r="A193" s="1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O303"/>
  <sheetViews>
    <sheetView zoomScaleNormal="100" workbookViewId="0">
      <selection activeCell="F2" sqref="F2"/>
    </sheetView>
  </sheetViews>
  <sheetFormatPr baseColWidth="10" defaultRowHeight="12.75"/>
  <cols>
    <col min="1" max="1" width="13.140625" customWidth="1"/>
    <col min="2" max="2" width="14.42578125" customWidth="1"/>
    <col min="3" max="3" width="15" customWidth="1"/>
    <col min="4" max="4" width="16.28515625" customWidth="1"/>
    <col min="5" max="5" width="12.85546875" customWidth="1"/>
    <col min="6" max="6" width="13.28515625" customWidth="1"/>
    <col min="7" max="7" width="13.140625" bestFit="1" customWidth="1"/>
    <col min="8" max="8" width="14.85546875" customWidth="1"/>
    <col min="12" max="13" width="11.42578125" customWidth="1"/>
    <col min="14" max="15" width="11.42578125" hidden="1" customWidth="1"/>
    <col min="16" max="16" width="17.7109375" hidden="1" customWidth="1"/>
    <col min="17" max="17" width="15" hidden="1" customWidth="1"/>
    <col min="18" max="27" width="11.42578125" hidden="1" customWidth="1"/>
    <col min="28" max="28" width="11.42578125" customWidth="1"/>
    <col min="29" max="29" width="13.140625" customWidth="1"/>
  </cols>
  <sheetData>
    <row r="1" spans="1:41" ht="13.5" thickBo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41" ht="13.5" thickBot="1">
      <c r="A2" s="320" t="s">
        <v>258</v>
      </c>
      <c r="B2" s="315" t="str">
        <f>VLOOKUP(Lugar!E84,Lugar!A64:C83,2)</f>
        <v>Santa Rosa</v>
      </c>
      <c r="C2" s="127"/>
      <c r="D2" s="127"/>
      <c r="E2" s="127"/>
      <c r="F2" s="127"/>
      <c r="G2" s="127"/>
      <c r="H2" s="127"/>
      <c r="I2" s="127"/>
      <c r="J2" s="127"/>
      <c r="K2" s="127"/>
    </row>
    <row r="3" spans="1:41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41">
      <c r="A4" s="316" t="s">
        <v>519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78"/>
      <c r="N4" s="88" t="s">
        <v>207</v>
      </c>
      <c r="O4" s="78"/>
      <c r="P4" s="78"/>
      <c r="Q4" s="78"/>
      <c r="R4" s="78" t="s">
        <v>205</v>
      </c>
      <c r="S4" s="78">
        <f>IF($B$2="Bolivar",+mensual!T49,IF($B$2="CABA",+mensual!T50,IF($B$2="Rosario",+mensual!T51,IF($B$2="Laboulage",+mensual!T52,IF($B$2="Mar del Plata",+mensual!T53,IF($B$2="Santa Rosa",+mensual!T54,IF($B$2="Ceres",+mensual!T55,IF($B$2="Concordia",+mensual!T56,0))))))))</f>
        <v>36.75</v>
      </c>
      <c r="T4" s="78" t="s">
        <v>2</v>
      </c>
      <c r="U4" s="78" t="s">
        <v>206</v>
      </c>
      <c r="V4" s="78">
        <f>IF($B$2="Bolivar",+mensual!W49,IF($B$2="CABA",+mensual!W50,IF($B$2="Rosario",+mensual!W51,IF($B$2="Laboulage",+mensual!W52,IF($B$2="Mar del Plata",+mensual!W53,IF($B$2="Santa Rosa",+mensual!W54,IF($B$2="Ceres",+mensual!W55,IF($B$2="Concordia",+mensual!W56,0))))))))</f>
        <v>20.350000000000001</v>
      </c>
      <c r="W4" s="78"/>
      <c r="X4" s="78"/>
      <c r="Y4" s="78"/>
      <c r="Z4" s="78"/>
      <c r="AA4" s="78"/>
    </row>
    <row r="5" spans="1:41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78"/>
      <c r="N5" s="78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78"/>
      <c r="AG5" s="78"/>
      <c r="AH5" s="78"/>
      <c r="AI5" s="78"/>
      <c r="AJ5" s="78"/>
      <c r="AK5" s="78"/>
      <c r="AL5" s="78"/>
      <c r="AM5" s="78"/>
      <c r="AN5" s="78"/>
      <c r="AO5" s="78"/>
    </row>
    <row r="6" spans="1:41" hidden="1">
      <c r="A6" s="316" t="s">
        <v>196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88"/>
      <c r="N6" s="88" t="s">
        <v>187</v>
      </c>
      <c r="O6" s="221">
        <v>0</v>
      </c>
      <c r="P6" s="221">
        <v>2</v>
      </c>
      <c r="Q6" s="221">
        <v>4</v>
      </c>
      <c r="R6" s="221">
        <v>6</v>
      </c>
      <c r="S6" s="221">
        <v>8</v>
      </c>
      <c r="T6" s="221">
        <v>10</v>
      </c>
      <c r="U6" s="221">
        <v>12</v>
      </c>
      <c r="V6" s="221">
        <v>14</v>
      </c>
      <c r="W6" s="221">
        <v>16</v>
      </c>
      <c r="X6" s="221">
        <v>18</v>
      </c>
      <c r="Y6" s="221">
        <v>20</v>
      </c>
      <c r="Z6" s="221">
        <v>22</v>
      </c>
      <c r="AA6" s="78"/>
      <c r="AG6" s="78"/>
      <c r="AH6" s="78"/>
      <c r="AI6" s="78"/>
      <c r="AJ6" s="78"/>
      <c r="AK6" s="78"/>
      <c r="AL6" s="78"/>
      <c r="AM6" s="78"/>
      <c r="AN6" s="78"/>
      <c r="AO6" s="78"/>
    </row>
    <row r="7" spans="1:41" hidden="1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88"/>
      <c r="N7" s="88" t="s">
        <v>204</v>
      </c>
      <c r="O7" s="221">
        <v>0.222</v>
      </c>
      <c r="P7" s="220">
        <v>0.13900000000000001</v>
      </c>
      <c r="Q7" s="220">
        <v>5.6000000000000001E-2</v>
      </c>
      <c r="R7" s="220">
        <v>0</v>
      </c>
      <c r="S7" s="220">
        <v>0.111</v>
      </c>
      <c r="T7" s="220">
        <v>0.58299999999999996</v>
      </c>
      <c r="U7" s="220">
        <v>0.86099999999999999</v>
      </c>
      <c r="V7" s="220">
        <v>1</v>
      </c>
      <c r="W7" s="220">
        <v>0.91700000000000004</v>
      </c>
      <c r="X7" s="220">
        <v>0.69399999999999995</v>
      </c>
      <c r="Y7" s="220">
        <v>0.44400000000000001</v>
      </c>
      <c r="Z7" s="220">
        <v>0.309</v>
      </c>
      <c r="AA7" s="78"/>
      <c r="AG7" s="88"/>
      <c r="AH7" s="88"/>
      <c r="AI7" s="88"/>
      <c r="AJ7" s="88"/>
      <c r="AK7" s="88"/>
      <c r="AL7" s="88"/>
      <c r="AM7" s="88"/>
      <c r="AN7" s="78"/>
      <c r="AO7" s="78"/>
    </row>
    <row r="8" spans="1:41" ht="14.25" hidden="1">
      <c r="A8" s="95" t="s">
        <v>530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88"/>
      <c r="N8" s="88" t="s">
        <v>203</v>
      </c>
      <c r="O8" s="88">
        <f>+($S$4-$V$4)*O7+$V$4</f>
        <v>23.9908</v>
      </c>
      <c r="P8" s="88">
        <f t="shared" ref="P8:Z8" si="0">+($S$4-$V$4)*P7+$V$4</f>
        <v>22.6296</v>
      </c>
      <c r="Q8" s="88">
        <f t="shared" si="0"/>
        <v>21.2684</v>
      </c>
      <c r="R8" s="88">
        <f t="shared" si="0"/>
        <v>20.350000000000001</v>
      </c>
      <c r="S8" s="88">
        <f t="shared" si="0"/>
        <v>22.170400000000001</v>
      </c>
      <c r="T8" s="88">
        <f t="shared" si="0"/>
        <v>29.911200000000001</v>
      </c>
      <c r="U8" s="88">
        <f t="shared" si="0"/>
        <v>34.470399999999998</v>
      </c>
      <c r="V8" s="88">
        <f t="shared" si="0"/>
        <v>36.75</v>
      </c>
      <c r="W8" s="88">
        <f t="shared" si="0"/>
        <v>35.388800000000003</v>
      </c>
      <c r="X8" s="88">
        <f t="shared" si="0"/>
        <v>31.7316</v>
      </c>
      <c r="Y8" s="88">
        <f t="shared" si="0"/>
        <v>27.631599999999999</v>
      </c>
      <c r="Z8" s="88">
        <f t="shared" si="0"/>
        <v>25.4176</v>
      </c>
      <c r="AA8" s="78"/>
      <c r="AG8" s="78"/>
      <c r="AH8" s="78"/>
      <c r="AI8" s="78"/>
      <c r="AJ8" s="78"/>
      <c r="AK8" s="78"/>
      <c r="AL8" s="78"/>
      <c r="AM8" s="78"/>
      <c r="AN8" s="78"/>
      <c r="AO8" s="78"/>
    </row>
    <row r="9" spans="1:41" hidden="1">
      <c r="A9" s="127"/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88"/>
      <c r="N9" s="88"/>
      <c r="O9" s="8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G9" s="88"/>
      <c r="AH9" s="88"/>
      <c r="AI9" s="88"/>
      <c r="AJ9" s="88"/>
      <c r="AK9" s="88"/>
      <c r="AL9" s="88"/>
      <c r="AM9" s="88"/>
      <c r="AN9" s="78"/>
      <c r="AO9" s="78"/>
    </row>
    <row r="10" spans="1:41" hidden="1">
      <c r="A10" s="95" t="s">
        <v>183</v>
      </c>
      <c r="B10" s="97" t="s">
        <v>188</v>
      </c>
      <c r="C10" s="97" t="s">
        <v>189</v>
      </c>
      <c r="D10" s="97" t="s">
        <v>190</v>
      </c>
      <c r="E10" s="97" t="s">
        <v>191</v>
      </c>
      <c r="F10" s="97" t="s">
        <v>192</v>
      </c>
      <c r="G10" s="97" t="s">
        <v>193</v>
      </c>
      <c r="H10" s="97" t="s">
        <v>194</v>
      </c>
      <c r="I10" s="97" t="s">
        <v>195</v>
      </c>
      <c r="J10" s="97" t="s">
        <v>6</v>
      </c>
      <c r="K10" s="97"/>
      <c r="L10" s="88"/>
      <c r="N10" s="88" t="s">
        <v>257</v>
      </c>
      <c r="O10" s="88"/>
      <c r="P10" s="78"/>
      <c r="Q10" s="78"/>
      <c r="R10" s="78"/>
      <c r="S10" s="78"/>
      <c r="T10" s="78"/>
      <c r="U10" s="78"/>
      <c r="V10" s="78"/>
      <c r="W10" s="78"/>
      <c r="X10" s="78"/>
      <c r="Y10" s="78" t="s">
        <v>208</v>
      </c>
      <c r="Z10" s="78"/>
      <c r="AA10" s="78"/>
      <c r="AG10" s="78"/>
      <c r="AH10" s="78"/>
      <c r="AI10" s="78"/>
      <c r="AJ10" s="78"/>
      <c r="AK10" s="78"/>
      <c r="AL10" s="78"/>
      <c r="AM10" s="78"/>
      <c r="AN10" s="78"/>
      <c r="AO10" s="78"/>
    </row>
    <row r="11" spans="1:41" hidden="1">
      <c r="A11" s="95" t="s">
        <v>181</v>
      </c>
      <c r="B11" s="222">
        <f>+superficies!D11</f>
        <v>0</v>
      </c>
      <c r="C11" s="222">
        <f>+superficies!D10</f>
        <v>9.3299999999999983</v>
      </c>
      <c r="D11" s="222">
        <f>+superficies!D9</f>
        <v>0</v>
      </c>
      <c r="E11" s="222">
        <f>+superficies!D8</f>
        <v>15.75</v>
      </c>
      <c r="F11" s="222">
        <f>+superficies!D15</f>
        <v>0</v>
      </c>
      <c r="G11" s="222">
        <f>+superficies!D14</f>
        <v>29.099999999999998</v>
      </c>
      <c r="H11" s="222">
        <f>+superficies!D13</f>
        <v>0</v>
      </c>
      <c r="I11" s="222">
        <f>+superficies!D12</f>
        <v>27.89</v>
      </c>
      <c r="J11" s="222">
        <f>+superficies!D18</f>
        <v>109.12499999999999</v>
      </c>
      <c r="K11" s="127"/>
      <c r="L11" s="78"/>
      <c r="N11" s="88" t="s">
        <v>183</v>
      </c>
      <c r="O11" s="89" t="s">
        <v>188</v>
      </c>
      <c r="P11" s="89" t="s">
        <v>189</v>
      </c>
      <c r="Q11" s="89" t="s">
        <v>190</v>
      </c>
      <c r="R11" s="89" t="s">
        <v>191</v>
      </c>
      <c r="S11" s="89" t="s">
        <v>192</v>
      </c>
      <c r="T11" s="89" t="s">
        <v>193</v>
      </c>
      <c r="U11" s="89" t="s">
        <v>194</v>
      </c>
      <c r="V11" s="89" t="s">
        <v>195</v>
      </c>
      <c r="W11" s="89" t="s">
        <v>6</v>
      </c>
      <c r="X11" s="78"/>
      <c r="Y11" s="88" t="s">
        <v>187</v>
      </c>
      <c r="Z11" s="88" t="s">
        <v>204</v>
      </c>
      <c r="AA11" s="88" t="s">
        <v>203</v>
      </c>
      <c r="AG11" s="78"/>
      <c r="AH11" s="78"/>
      <c r="AI11" s="78"/>
      <c r="AJ11" s="78"/>
      <c r="AK11" s="78"/>
      <c r="AL11" s="78"/>
      <c r="AM11" s="78"/>
      <c r="AN11" s="78"/>
      <c r="AO11" s="78"/>
    </row>
    <row r="12" spans="1:41" hidden="1">
      <c r="A12" s="95" t="s">
        <v>82</v>
      </c>
      <c r="B12" s="222">
        <f>+'Balance calefacción'!$D10</f>
        <v>0.65</v>
      </c>
      <c r="C12" s="222">
        <f>+'Balance calefacción'!$D10</f>
        <v>0.65</v>
      </c>
      <c r="D12" s="222">
        <f>+'Balance calefacción'!$D10</f>
        <v>0.65</v>
      </c>
      <c r="E12" s="222">
        <f>+'Balance calefacción'!$D10</f>
        <v>0.65</v>
      </c>
      <c r="F12" s="222">
        <f>+'Balance calefacción'!$D10</f>
        <v>0.65</v>
      </c>
      <c r="G12" s="222">
        <f>+'Balance calefacción'!$D10</f>
        <v>0.65</v>
      </c>
      <c r="H12" s="222">
        <f>+'Balance calefacción'!$D10</f>
        <v>0.65</v>
      </c>
      <c r="I12" s="222">
        <f>+'Balance calefacción'!$D10</f>
        <v>0.65</v>
      </c>
      <c r="J12" s="222">
        <f>+'Balance calefacción'!D12</f>
        <v>0.4</v>
      </c>
      <c r="K12" s="127"/>
      <c r="L12" s="78"/>
      <c r="N12" s="88" t="s">
        <v>187</v>
      </c>
      <c r="O12" s="78"/>
      <c r="P12" s="78"/>
      <c r="Q12" s="78"/>
      <c r="R12" s="78"/>
      <c r="S12" s="78"/>
      <c r="T12" s="78"/>
      <c r="U12" s="78"/>
      <c r="V12" s="78"/>
      <c r="W12" s="78" t="s">
        <v>2</v>
      </c>
      <c r="X12" s="78"/>
      <c r="Y12" s="88">
        <v>0</v>
      </c>
      <c r="Z12" s="221">
        <v>0.222</v>
      </c>
      <c r="AA12" s="221">
        <f>+($S$4-$V$4)*Z12+$V$4</f>
        <v>23.9908</v>
      </c>
      <c r="AG12" s="89"/>
      <c r="AH12" s="89"/>
      <c r="AI12" s="89"/>
      <c r="AJ12" s="89"/>
      <c r="AK12" s="78"/>
      <c r="AL12" s="88"/>
      <c r="AM12" s="88"/>
      <c r="AN12" s="88"/>
      <c r="AO12" s="78"/>
    </row>
    <row r="13" spans="1:41" hidden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78"/>
      <c r="N13" s="88">
        <v>0</v>
      </c>
      <c r="O13" s="220">
        <v>6</v>
      </c>
      <c r="P13" s="220">
        <v>4</v>
      </c>
      <c r="Q13" s="220">
        <v>5</v>
      </c>
      <c r="R13" s="220">
        <v>6</v>
      </c>
      <c r="S13" s="220">
        <v>13</v>
      </c>
      <c r="T13" s="220">
        <v>16</v>
      </c>
      <c r="U13" s="220">
        <v>12</v>
      </c>
      <c r="V13" s="220">
        <v>2</v>
      </c>
      <c r="W13" s="220">
        <v>3</v>
      </c>
      <c r="X13" s="78"/>
      <c r="Y13" s="88">
        <v>2</v>
      </c>
      <c r="Z13" s="220">
        <v>0.13900000000000001</v>
      </c>
      <c r="AA13" s="221">
        <f t="shared" ref="AA13:AA23" si="1">+($S$4-$V$4)*Z13+$V$4</f>
        <v>22.6296</v>
      </c>
      <c r="AG13" s="78"/>
      <c r="AH13" s="78"/>
      <c r="AI13" s="78"/>
      <c r="AJ13" s="78"/>
      <c r="AK13" s="78"/>
      <c r="AL13" s="88"/>
      <c r="AM13" s="88"/>
      <c r="AN13" s="88"/>
      <c r="AO13" s="78"/>
    </row>
    <row r="14" spans="1:41" hidden="1">
      <c r="A14" s="95" t="s">
        <v>531</v>
      </c>
      <c r="B14" s="96"/>
      <c r="C14" s="96"/>
      <c r="D14" s="96"/>
      <c r="E14" s="96"/>
      <c r="F14" s="95" t="s">
        <v>91</v>
      </c>
      <c r="G14" s="96"/>
      <c r="H14" s="96"/>
      <c r="I14" s="96"/>
      <c r="J14" s="96"/>
      <c r="K14" s="96"/>
      <c r="L14" s="78"/>
      <c r="N14" s="88">
        <v>2</v>
      </c>
      <c r="O14" s="220">
        <v>5</v>
      </c>
      <c r="P14" s="220">
        <v>3</v>
      </c>
      <c r="Q14" s="220">
        <v>4</v>
      </c>
      <c r="R14" s="220">
        <v>5</v>
      </c>
      <c r="S14" s="220">
        <v>9</v>
      </c>
      <c r="T14" s="220">
        <v>12</v>
      </c>
      <c r="U14" s="220">
        <v>2</v>
      </c>
      <c r="V14" s="220">
        <v>2</v>
      </c>
      <c r="W14" s="220">
        <v>3</v>
      </c>
      <c r="X14" s="78"/>
      <c r="Y14" s="88">
        <v>4</v>
      </c>
      <c r="Z14" s="220">
        <v>5.6000000000000001E-2</v>
      </c>
      <c r="AA14" s="221">
        <f t="shared" si="1"/>
        <v>21.2684</v>
      </c>
      <c r="AG14" s="78"/>
      <c r="AH14" s="78"/>
      <c r="AI14" s="78"/>
      <c r="AJ14" s="78"/>
      <c r="AK14" s="78"/>
      <c r="AL14" s="88"/>
      <c r="AM14" s="78"/>
      <c r="AN14" s="88"/>
      <c r="AO14" s="78"/>
    </row>
    <row r="15" spans="1:41" hidden="1">
      <c r="A15" s="95"/>
      <c r="B15" s="96"/>
      <c r="C15" s="96"/>
      <c r="D15" s="96"/>
      <c r="E15" s="96"/>
      <c r="F15" s="96"/>
      <c r="G15" s="96"/>
      <c r="H15" s="96"/>
      <c r="I15" s="96"/>
      <c r="J15" s="95" t="s">
        <v>0</v>
      </c>
      <c r="K15" s="96"/>
      <c r="L15" s="78"/>
      <c r="N15" s="88">
        <v>4</v>
      </c>
      <c r="O15" s="220">
        <v>4</v>
      </c>
      <c r="P15" s="220">
        <v>3</v>
      </c>
      <c r="Q15" s="220">
        <v>3</v>
      </c>
      <c r="R15" s="220">
        <v>4</v>
      </c>
      <c r="S15" s="220">
        <v>5</v>
      </c>
      <c r="T15" s="220">
        <v>8</v>
      </c>
      <c r="U15" s="220">
        <v>2</v>
      </c>
      <c r="V15" s="220">
        <v>2</v>
      </c>
      <c r="W15" s="220">
        <v>3</v>
      </c>
      <c r="X15" s="78"/>
      <c r="Y15" s="88">
        <v>6</v>
      </c>
      <c r="Z15" s="220">
        <v>0</v>
      </c>
      <c r="AA15" s="221">
        <f t="shared" si="1"/>
        <v>20.350000000000001</v>
      </c>
      <c r="AG15" s="78"/>
      <c r="AH15" s="78"/>
      <c r="AI15" s="78"/>
      <c r="AJ15" s="78"/>
      <c r="AK15" s="78"/>
      <c r="AL15" s="88"/>
      <c r="AM15" s="78"/>
      <c r="AN15" s="88"/>
      <c r="AO15" s="78"/>
    </row>
    <row r="16" spans="1:41" hidden="1">
      <c r="A16" s="95" t="s">
        <v>183</v>
      </c>
      <c r="B16" s="97" t="s">
        <v>188</v>
      </c>
      <c r="C16" s="97" t="s">
        <v>189</v>
      </c>
      <c r="D16" s="97" t="s">
        <v>190</v>
      </c>
      <c r="E16" s="97" t="s">
        <v>191</v>
      </c>
      <c r="F16" s="97" t="s">
        <v>192</v>
      </c>
      <c r="G16" s="97" t="s">
        <v>193</v>
      </c>
      <c r="H16" s="97" t="s">
        <v>194</v>
      </c>
      <c r="I16" s="97" t="s">
        <v>195</v>
      </c>
      <c r="J16" s="95" t="s">
        <v>393</v>
      </c>
      <c r="K16" s="97" t="s">
        <v>6</v>
      </c>
      <c r="L16" s="78"/>
      <c r="N16" s="88">
        <v>6</v>
      </c>
      <c r="O16" s="220">
        <v>4</v>
      </c>
      <c r="P16" s="220">
        <v>5</v>
      </c>
      <c r="Q16" s="220">
        <v>3</v>
      </c>
      <c r="R16" s="220">
        <v>3</v>
      </c>
      <c r="S16" s="220">
        <v>4</v>
      </c>
      <c r="T16" s="220">
        <v>6</v>
      </c>
      <c r="U16" s="220">
        <v>5</v>
      </c>
      <c r="V16" s="220">
        <v>2</v>
      </c>
      <c r="W16" s="220">
        <v>10</v>
      </c>
      <c r="X16" s="78"/>
      <c r="Y16" s="88">
        <v>8</v>
      </c>
      <c r="Z16" s="220">
        <v>0.111</v>
      </c>
      <c r="AA16" s="221">
        <f t="shared" si="1"/>
        <v>22.170400000000001</v>
      </c>
      <c r="AG16" s="78"/>
      <c r="AH16" s="78"/>
      <c r="AI16" s="78"/>
      <c r="AJ16" s="78"/>
      <c r="AK16" s="78"/>
      <c r="AL16" s="88"/>
      <c r="AM16" s="78"/>
      <c r="AN16" s="88"/>
      <c r="AO16" s="78"/>
    </row>
    <row r="17" spans="1:41" hidden="1">
      <c r="A17" s="95" t="s">
        <v>187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27" t="s">
        <v>2</v>
      </c>
      <c r="L17" s="78"/>
      <c r="N17" s="88">
        <v>8</v>
      </c>
      <c r="O17" s="220">
        <v>5</v>
      </c>
      <c r="P17" s="220">
        <v>6</v>
      </c>
      <c r="Q17" s="220">
        <v>6</v>
      </c>
      <c r="R17" s="220">
        <v>5</v>
      </c>
      <c r="S17" s="220">
        <v>3</v>
      </c>
      <c r="T17" s="220">
        <v>4</v>
      </c>
      <c r="U17" s="220">
        <v>5</v>
      </c>
      <c r="V17" s="220">
        <v>2</v>
      </c>
      <c r="W17" s="220">
        <v>10</v>
      </c>
      <c r="X17" s="78"/>
      <c r="Y17" s="88">
        <v>10</v>
      </c>
      <c r="Z17" s="220">
        <v>0.58299999999999996</v>
      </c>
      <c r="AA17" s="221">
        <f t="shared" si="1"/>
        <v>29.911200000000001</v>
      </c>
      <c r="AG17" s="78"/>
      <c r="AH17" s="78"/>
      <c r="AI17" s="78"/>
      <c r="AJ17" s="78"/>
      <c r="AK17" s="78"/>
      <c r="AL17" s="88"/>
      <c r="AM17" s="78"/>
      <c r="AN17" s="88"/>
      <c r="AO17" s="78"/>
    </row>
    <row r="18" spans="1:41" hidden="1">
      <c r="A18" s="95">
        <v>0</v>
      </c>
      <c r="B18" s="223">
        <f t="shared" ref="B18:B29" si="2">+B$11*O13*B$12</f>
        <v>0</v>
      </c>
      <c r="C18" s="223">
        <f t="shared" ref="C18:C29" si="3">+C$11*P13*C$12</f>
        <v>24.257999999999996</v>
      </c>
      <c r="D18" s="223">
        <f t="shared" ref="D18:D29" si="4">+D$11*Q13*D$12</f>
        <v>0</v>
      </c>
      <c r="E18" s="223">
        <f t="shared" ref="E18:E29" si="5">+E$11*R13*E$12</f>
        <v>61.425000000000004</v>
      </c>
      <c r="F18" s="223">
        <f t="shared" ref="F18:F29" si="6">+F$11*S13*F$12</f>
        <v>0</v>
      </c>
      <c r="G18" s="223">
        <f>+G$11*T13*G$12</f>
        <v>302.64</v>
      </c>
      <c r="H18" s="223">
        <f t="shared" ref="H18:H29" si="7">+H$11*U13*H$12</f>
        <v>0</v>
      </c>
      <c r="I18" s="223">
        <f t="shared" ref="I18:I29" si="8">+I$11*V13*I$12</f>
        <v>36.257000000000005</v>
      </c>
      <c r="J18" s="223">
        <f>SUM(B18:I18)</f>
        <v>424.58</v>
      </c>
      <c r="K18" s="223">
        <f t="shared" ref="K18:K29" si="9">+J$11*W13*J$12</f>
        <v>130.94999999999999</v>
      </c>
      <c r="L18" s="78"/>
      <c r="N18" s="88">
        <v>10</v>
      </c>
      <c r="O18" s="220">
        <v>5</v>
      </c>
      <c r="P18" s="220">
        <v>10</v>
      </c>
      <c r="Q18" s="220">
        <v>6</v>
      </c>
      <c r="R18" s="220">
        <v>5</v>
      </c>
      <c r="S18" s="220">
        <v>6</v>
      </c>
      <c r="T18" s="220">
        <v>6</v>
      </c>
      <c r="U18" s="220">
        <v>5</v>
      </c>
      <c r="V18" s="220">
        <v>2</v>
      </c>
      <c r="W18" s="220">
        <v>10</v>
      </c>
      <c r="X18" s="78"/>
      <c r="Y18" s="88">
        <v>12</v>
      </c>
      <c r="Z18" s="220">
        <v>0.86099999999999999</v>
      </c>
      <c r="AA18" s="221">
        <f t="shared" si="1"/>
        <v>34.470399999999998</v>
      </c>
      <c r="AG18" s="78"/>
      <c r="AH18" s="78"/>
      <c r="AI18" s="78"/>
      <c r="AJ18" s="78"/>
      <c r="AK18" s="78"/>
      <c r="AL18" s="88"/>
      <c r="AM18" s="78"/>
      <c r="AN18" s="88"/>
      <c r="AO18" s="78"/>
    </row>
    <row r="19" spans="1:41" hidden="1">
      <c r="A19" s="95">
        <v>2</v>
      </c>
      <c r="B19" s="223">
        <f t="shared" si="2"/>
        <v>0</v>
      </c>
      <c r="C19" s="223">
        <f t="shared" si="3"/>
        <v>18.193499999999997</v>
      </c>
      <c r="D19" s="223">
        <f t="shared" si="4"/>
        <v>0</v>
      </c>
      <c r="E19" s="223">
        <f t="shared" si="5"/>
        <v>51.1875</v>
      </c>
      <c r="F19" s="223">
        <f t="shared" si="6"/>
        <v>0</v>
      </c>
      <c r="G19" s="223">
        <f t="shared" ref="G19:G29" si="10">+G$11*T14*G$12</f>
        <v>226.98</v>
      </c>
      <c r="H19" s="223">
        <f t="shared" si="7"/>
        <v>0</v>
      </c>
      <c r="I19" s="223">
        <f t="shared" si="8"/>
        <v>36.257000000000005</v>
      </c>
      <c r="J19" s="223">
        <f t="shared" ref="J19:J29" si="11">SUM(B19:I19)</f>
        <v>332.61799999999999</v>
      </c>
      <c r="K19" s="223">
        <f t="shared" si="9"/>
        <v>130.94999999999999</v>
      </c>
      <c r="L19" s="78"/>
      <c r="N19" s="88">
        <v>12</v>
      </c>
      <c r="O19" s="220">
        <v>13</v>
      </c>
      <c r="P19" s="220">
        <v>16</v>
      </c>
      <c r="Q19" s="220">
        <v>11</v>
      </c>
      <c r="R19" s="220">
        <v>5</v>
      </c>
      <c r="S19" s="220">
        <v>6</v>
      </c>
      <c r="T19" s="220">
        <v>6</v>
      </c>
      <c r="U19" s="220">
        <v>5</v>
      </c>
      <c r="V19" s="220">
        <v>2</v>
      </c>
      <c r="W19" s="220">
        <v>11</v>
      </c>
      <c r="X19" s="78"/>
      <c r="Y19" s="88">
        <v>14</v>
      </c>
      <c r="Z19" s="220">
        <v>1</v>
      </c>
      <c r="AA19" s="221">
        <f t="shared" si="1"/>
        <v>36.75</v>
      </c>
      <c r="AG19" s="78"/>
      <c r="AH19" s="78"/>
      <c r="AI19" s="78"/>
      <c r="AJ19" s="78"/>
      <c r="AK19" s="78"/>
      <c r="AL19" s="88"/>
      <c r="AM19" s="78"/>
      <c r="AN19" s="88"/>
      <c r="AO19" s="78"/>
    </row>
    <row r="20" spans="1:41" hidden="1">
      <c r="A20" s="95">
        <v>4</v>
      </c>
      <c r="B20" s="223">
        <f t="shared" si="2"/>
        <v>0</v>
      </c>
      <c r="C20" s="223">
        <f t="shared" si="3"/>
        <v>18.193499999999997</v>
      </c>
      <c r="D20" s="223">
        <f t="shared" si="4"/>
        <v>0</v>
      </c>
      <c r="E20" s="223">
        <f t="shared" si="5"/>
        <v>40.950000000000003</v>
      </c>
      <c r="F20" s="223">
        <f t="shared" si="6"/>
        <v>0</v>
      </c>
      <c r="G20" s="223">
        <f t="shared" si="10"/>
        <v>151.32</v>
      </c>
      <c r="H20" s="223">
        <f t="shared" si="7"/>
        <v>0</v>
      </c>
      <c r="I20" s="223">
        <f t="shared" si="8"/>
        <v>36.257000000000005</v>
      </c>
      <c r="J20" s="223">
        <f t="shared" si="11"/>
        <v>246.72050000000002</v>
      </c>
      <c r="K20" s="223">
        <f t="shared" si="9"/>
        <v>130.94999999999999</v>
      </c>
      <c r="L20" s="78"/>
      <c r="N20" s="88">
        <v>14</v>
      </c>
      <c r="O20" s="220">
        <v>10</v>
      </c>
      <c r="P20" s="220">
        <v>16</v>
      </c>
      <c r="Q20" s="220">
        <v>12</v>
      </c>
      <c r="R20" s="220">
        <v>9</v>
      </c>
      <c r="S20" s="220">
        <v>7</v>
      </c>
      <c r="T20" s="220">
        <v>7</v>
      </c>
      <c r="U20" s="220">
        <v>5</v>
      </c>
      <c r="V20" s="220">
        <v>4</v>
      </c>
      <c r="W20" s="220">
        <v>17</v>
      </c>
      <c r="X20" s="78"/>
      <c r="Y20" s="88">
        <v>16</v>
      </c>
      <c r="Z20" s="220">
        <v>0.91700000000000004</v>
      </c>
      <c r="AA20" s="221">
        <f t="shared" si="1"/>
        <v>35.388800000000003</v>
      </c>
      <c r="AG20" s="78"/>
      <c r="AH20" s="78"/>
      <c r="AI20" s="78"/>
      <c r="AJ20" s="78"/>
      <c r="AK20" s="78"/>
      <c r="AL20" s="88"/>
      <c r="AM20" s="78"/>
      <c r="AN20" s="88"/>
      <c r="AO20" s="78"/>
    </row>
    <row r="21" spans="1:41" hidden="1">
      <c r="A21" s="95">
        <v>6</v>
      </c>
      <c r="B21" s="223">
        <f t="shared" si="2"/>
        <v>0</v>
      </c>
      <c r="C21" s="223">
        <f t="shared" si="3"/>
        <v>30.322499999999994</v>
      </c>
      <c r="D21" s="223">
        <f t="shared" si="4"/>
        <v>0</v>
      </c>
      <c r="E21" s="223">
        <f t="shared" si="5"/>
        <v>30.712500000000002</v>
      </c>
      <c r="F21" s="223">
        <f t="shared" si="6"/>
        <v>0</v>
      </c>
      <c r="G21" s="223">
        <f t="shared" si="10"/>
        <v>113.49</v>
      </c>
      <c r="H21" s="223">
        <f t="shared" si="7"/>
        <v>0</v>
      </c>
      <c r="I21" s="223">
        <f t="shared" si="8"/>
        <v>36.257000000000005</v>
      </c>
      <c r="J21" s="223">
        <f t="shared" si="11"/>
        <v>210.78199999999998</v>
      </c>
      <c r="K21" s="223">
        <f t="shared" si="9"/>
        <v>436.49999999999994</v>
      </c>
      <c r="L21" s="78"/>
      <c r="N21" s="88">
        <v>16</v>
      </c>
      <c r="O21" s="220">
        <v>9</v>
      </c>
      <c r="P21" s="220">
        <v>12</v>
      </c>
      <c r="Q21" s="220">
        <v>12</v>
      </c>
      <c r="R21" s="220">
        <v>12</v>
      </c>
      <c r="S21" s="220">
        <v>10</v>
      </c>
      <c r="T21" s="220">
        <v>9</v>
      </c>
      <c r="U21" s="220">
        <v>6</v>
      </c>
      <c r="V21" s="220">
        <v>5</v>
      </c>
      <c r="W21" s="220">
        <v>20</v>
      </c>
      <c r="X21" s="78"/>
      <c r="Y21" s="88">
        <v>18</v>
      </c>
      <c r="Z21" s="220">
        <v>0.69399999999999995</v>
      </c>
      <c r="AA21" s="221">
        <f t="shared" si="1"/>
        <v>31.7316</v>
      </c>
      <c r="AG21" s="78"/>
      <c r="AH21" s="78"/>
      <c r="AI21" s="78"/>
      <c r="AJ21" s="78"/>
      <c r="AK21" s="78"/>
      <c r="AL21" s="88"/>
      <c r="AM21" s="78"/>
      <c r="AN21" s="88"/>
      <c r="AO21" s="78"/>
    </row>
    <row r="22" spans="1:41" hidden="1">
      <c r="A22" s="95">
        <v>8</v>
      </c>
      <c r="B22" s="223">
        <f t="shared" si="2"/>
        <v>0</v>
      </c>
      <c r="C22" s="223">
        <f t="shared" si="3"/>
        <v>36.386999999999993</v>
      </c>
      <c r="D22" s="223">
        <f t="shared" si="4"/>
        <v>0</v>
      </c>
      <c r="E22" s="223">
        <f t="shared" si="5"/>
        <v>51.1875</v>
      </c>
      <c r="F22" s="223">
        <f t="shared" si="6"/>
        <v>0</v>
      </c>
      <c r="G22" s="223">
        <f t="shared" si="10"/>
        <v>75.66</v>
      </c>
      <c r="H22" s="223">
        <f t="shared" si="7"/>
        <v>0</v>
      </c>
      <c r="I22" s="223">
        <f t="shared" si="8"/>
        <v>36.257000000000005</v>
      </c>
      <c r="J22" s="223">
        <f t="shared" si="11"/>
        <v>199.4915</v>
      </c>
      <c r="K22" s="223">
        <f t="shared" si="9"/>
        <v>436.49999999999994</v>
      </c>
      <c r="L22" s="78"/>
      <c r="N22" s="88">
        <v>18</v>
      </c>
      <c r="O22" s="220">
        <v>9</v>
      </c>
      <c r="P22" s="220">
        <v>10</v>
      </c>
      <c r="Q22" s="220">
        <v>10</v>
      </c>
      <c r="R22" s="220">
        <v>12</v>
      </c>
      <c r="S22" s="220">
        <v>15</v>
      </c>
      <c r="T22" s="220">
        <v>14</v>
      </c>
      <c r="U22" s="220">
        <v>9</v>
      </c>
      <c r="V22" s="220">
        <v>5</v>
      </c>
      <c r="W22" s="220">
        <v>23</v>
      </c>
      <c r="X22" s="78"/>
      <c r="Y22" s="88">
        <v>20</v>
      </c>
      <c r="Z22" s="220">
        <v>0.44400000000000001</v>
      </c>
      <c r="AA22" s="221">
        <f t="shared" si="1"/>
        <v>27.631599999999999</v>
      </c>
      <c r="AG22" s="78"/>
      <c r="AH22" s="78"/>
      <c r="AI22" s="78"/>
      <c r="AJ22" s="78"/>
      <c r="AK22" s="78"/>
      <c r="AL22" s="88"/>
      <c r="AM22" s="78"/>
      <c r="AN22" s="88"/>
      <c r="AO22" s="78"/>
    </row>
    <row r="23" spans="1:41" hidden="1">
      <c r="A23" s="95">
        <v>10</v>
      </c>
      <c r="B23" s="223">
        <f t="shared" si="2"/>
        <v>0</v>
      </c>
      <c r="C23" s="223">
        <f t="shared" si="3"/>
        <v>60.644999999999989</v>
      </c>
      <c r="D23" s="223">
        <f t="shared" si="4"/>
        <v>0</v>
      </c>
      <c r="E23" s="223">
        <f t="shared" si="5"/>
        <v>51.1875</v>
      </c>
      <c r="F23" s="223">
        <f t="shared" si="6"/>
        <v>0</v>
      </c>
      <c r="G23" s="223">
        <f t="shared" si="10"/>
        <v>113.49</v>
      </c>
      <c r="H23" s="223">
        <f t="shared" si="7"/>
        <v>0</v>
      </c>
      <c r="I23" s="223">
        <f t="shared" si="8"/>
        <v>36.257000000000005</v>
      </c>
      <c r="J23" s="223">
        <f t="shared" si="11"/>
        <v>261.5795</v>
      </c>
      <c r="K23" s="223">
        <f t="shared" si="9"/>
        <v>436.49999999999994</v>
      </c>
      <c r="L23" s="78"/>
      <c r="N23" s="88">
        <v>20</v>
      </c>
      <c r="O23" s="220">
        <v>9</v>
      </c>
      <c r="P23" s="220">
        <v>10</v>
      </c>
      <c r="Q23" s="220">
        <v>9</v>
      </c>
      <c r="R23" s="220">
        <v>10</v>
      </c>
      <c r="S23" s="220">
        <v>16</v>
      </c>
      <c r="T23" s="220">
        <v>18</v>
      </c>
      <c r="U23" s="220">
        <v>14</v>
      </c>
      <c r="V23" s="220">
        <v>7</v>
      </c>
      <c r="W23" s="220">
        <v>22</v>
      </c>
      <c r="X23" s="78"/>
      <c r="Y23" s="88">
        <v>22</v>
      </c>
      <c r="Z23" s="220">
        <v>0.309</v>
      </c>
      <c r="AA23" s="221">
        <f t="shared" si="1"/>
        <v>25.4176</v>
      </c>
      <c r="AG23" s="78"/>
      <c r="AH23" s="78"/>
      <c r="AI23" s="78"/>
      <c r="AJ23" s="78"/>
      <c r="AK23" s="78"/>
      <c r="AL23" s="88"/>
      <c r="AM23" s="78"/>
      <c r="AN23" s="88"/>
      <c r="AO23" s="78"/>
    </row>
    <row r="24" spans="1:41" hidden="1">
      <c r="A24" s="95">
        <v>12</v>
      </c>
      <c r="B24" s="223">
        <f t="shared" si="2"/>
        <v>0</v>
      </c>
      <c r="C24" s="223">
        <f t="shared" si="3"/>
        <v>97.031999999999982</v>
      </c>
      <c r="D24" s="223">
        <f t="shared" si="4"/>
        <v>0</v>
      </c>
      <c r="E24" s="223">
        <f t="shared" si="5"/>
        <v>51.1875</v>
      </c>
      <c r="F24" s="223">
        <f t="shared" si="6"/>
        <v>0</v>
      </c>
      <c r="G24" s="223">
        <f t="shared" si="10"/>
        <v>113.49</v>
      </c>
      <c r="H24" s="223">
        <f t="shared" si="7"/>
        <v>0</v>
      </c>
      <c r="I24" s="223">
        <f t="shared" si="8"/>
        <v>36.257000000000005</v>
      </c>
      <c r="J24" s="223">
        <f t="shared" si="11"/>
        <v>297.9665</v>
      </c>
      <c r="K24" s="223">
        <f t="shared" si="9"/>
        <v>480.14999999999992</v>
      </c>
      <c r="L24" s="78"/>
      <c r="N24" s="88">
        <v>22</v>
      </c>
      <c r="O24" s="220">
        <v>8</v>
      </c>
      <c r="P24" s="220">
        <v>9</v>
      </c>
      <c r="Q24" s="220">
        <v>8</v>
      </c>
      <c r="R24" s="220">
        <v>8</v>
      </c>
      <c r="S24" s="220">
        <v>15</v>
      </c>
      <c r="T24" s="220">
        <v>17</v>
      </c>
      <c r="U24" s="220">
        <v>15</v>
      </c>
      <c r="V24" s="220">
        <v>6</v>
      </c>
      <c r="W24" s="220">
        <v>21</v>
      </c>
      <c r="X24" s="78"/>
      <c r="Y24" s="78"/>
      <c r="Z24" s="78"/>
      <c r="AA24" s="78"/>
      <c r="AG24" s="78"/>
      <c r="AH24" s="78"/>
      <c r="AI24" s="78"/>
      <c r="AJ24" s="78"/>
      <c r="AK24" s="78"/>
      <c r="AL24" s="88"/>
      <c r="AM24" s="78"/>
      <c r="AN24" s="88"/>
      <c r="AO24" s="78"/>
    </row>
    <row r="25" spans="1:41" hidden="1">
      <c r="A25" s="95">
        <v>14</v>
      </c>
      <c r="B25" s="223">
        <f t="shared" si="2"/>
        <v>0</v>
      </c>
      <c r="C25" s="223">
        <f t="shared" si="3"/>
        <v>97.031999999999982</v>
      </c>
      <c r="D25" s="223">
        <f t="shared" si="4"/>
        <v>0</v>
      </c>
      <c r="E25" s="223">
        <f t="shared" si="5"/>
        <v>92.137500000000003</v>
      </c>
      <c r="F25" s="223">
        <f t="shared" si="6"/>
        <v>0</v>
      </c>
      <c r="G25" s="223">
        <f t="shared" si="10"/>
        <v>132.405</v>
      </c>
      <c r="H25" s="223">
        <f t="shared" si="7"/>
        <v>0</v>
      </c>
      <c r="I25" s="223">
        <f t="shared" si="8"/>
        <v>72.51400000000001</v>
      </c>
      <c r="J25" s="223">
        <f t="shared" si="11"/>
        <v>394.08849999999995</v>
      </c>
      <c r="K25" s="223">
        <f t="shared" si="9"/>
        <v>742.05</v>
      </c>
      <c r="L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G25" s="78"/>
      <c r="AH25" s="78"/>
      <c r="AI25" s="78"/>
      <c r="AJ25" s="78"/>
      <c r="AK25" s="78"/>
      <c r="AL25" s="78"/>
      <c r="AM25" s="78"/>
      <c r="AN25" s="78"/>
      <c r="AO25" s="78"/>
    </row>
    <row r="26" spans="1:41" hidden="1">
      <c r="A26" s="95">
        <v>16</v>
      </c>
      <c r="B26" s="223">
        <f t="shared" si="2"/>
        <v>0</v>
      </c>
      <c r="C26" s="223">
        <f t="shared" si="3"/>
        <v>72.773999999999987</v>
      </c>
      <c r="D26" s="223">
        <f t="shared" si="4"/>
        <v>0</v>
      </c>
      <c r="E26" s="223">
        <f t="shared" si="5"/>
        <v>122.85000000000001</v>
      </c>
      <c r="F26" s="223">
        <f t="shared" si="6"/>
        <v>0</v>
      </c>
      <c r="G26" s="223">
        <f t="shared" si="10"/>
        <v>170.23499999999999</v>
      </c>
      <c r="H26" s="223">
        <f t="shared" si="7"/>
        <v>0</v>
      </c>
      <c r="I26" s="223">
        <f t="shared" si="8"/>
        <v>90.642499999999998</v>
      </c>
      <c r="J26" s="223">
        <f t="shared" si="11"/>
        <v>456.50149999999996</v>
      </c>
      <c r="K26" s="223">
        <f t="shared" si="9"/>
        <v>872.99999999999989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G26" s="78"/>
      <c r="AH26" s="78"/>
      <c r="AI26" s="78"/>
      <c r="AJ26" s="78"/>
      <c r="AK26" s="78"/>
      <c r="AL26" s="78"/>
      <c r="AM26" s="78"/>
      <c r="AN26" s="78"/>
      <c r="AO26" s="78"/>
    </row>
    <row r="27" spans="1:41" hidden="1">
      <c r="A27" s="95">
        <v>18</v>
      </c>
      <c r="B27" s="223">
        <f t="shared" si="2"/>
        <v>0</v>
      </c>
      <c r="C27" s="223">
        <f t="shared" si="3"/>
        <v>60.644999999999989</v>
      </c>
      <c r="D27" s="223">
        <f t="shared" si="4"/>
        <v>0</v>
      </c>
      <c r="E27" s="223">
        <f t="shared" si="5"/>
        <v>122.85000000000001</v>
      </c>
      <c r="F27" s="223">
        <f t="shared" si="6"/>
        <v>0</v>
      </c>
      <c r="G27" s="223">
        <f t="shared" si="10"/>
        <v>264.81</v>
      </c>
      <c r="H27" s="223">
        <f t="shared" si="7"/>
        <v>0</v>
      </c>
      <c r="I27" s="223">
        <f t="shared" si="8"/>
        <v>90.642499999999998</v>
      </c>
      <c r="J27" s="223">
        <f t="shared" si="11"/>
        <v>538.94749999999999</v>
      </c>
      <c r="K27" s="223">
        <f t="shared" si="9"/>
        <v>1003.9499999999998</v>
      </c>
      <c r="L27" s="78"/>
      <c r="W27" s="78"/>
      <c r="X27" s="78"/>
      <c r="Y27" s="78"/>
      <c r="Z27" s="78"/>
      <c r="AA27" s="78"/>
      <c r="AG27" s="78"/>
      <c r="AH27" s="78"/>
      <c r="AI27" s="78"/>
      <c r="AJ27" s="78"/>
      <c r="AK27" s="78"/>
      <c r="AL27" s="78"/>
      <c r="AM27" s="78"/>
      <c r="AN27" s="78"/>
      <c r="AO27" s="78"/>
    </row>
    <row r="28" spans="1:41" hidden="1">
      <c r="A28" s="95">
        <v>20</v>
      </c>
      <c r="B28" s="223">
        <f t="shared" si="2"/>
        <v>0</v>
      </c>
      <c r="C28" s="223">
        <f t="shared" si="3"/>
        <v>60.644999999999989</v>
      </c>
      <c r="D28" s="223">
        <f t="shared" si="4"/>
        <v>0</v>
      </c>
      <c r="E28" s="223">
        <f t="shared" si="5"/>
        <v>102.375</v>
      </c>
      <c r="F28" s="223">
        <f t="shared" si="6"/>
        <v>0</v>
      </c>
      <c r="G28" s="223">
        <f t="shared" si="10"/>
        <v>340.46999999999997</v>
      </c>
      <c r="H28" s="223">
        <f t="shared" si="7"/>
        <v>0</v>
      </c>
      <c r="I28" s="223">
        <f t="shared" si="8"/>
        <v>126.89950000000002</v>
      </c>
      <c r="J28" s="223">
        <f t="shared" si="11"/>
        <v>630.3895</v>
      </c>
      <c r="K28" s="223">
        <f t="shared" si="9"/>
        <v>960.29999999999984</v>
      </c>
      <c r="L28" s="78"/>
      <c r="W28" s="78"/>
      <c r="X28" s="78"/>
      <c r="Y28" s="78"/>
      <c r="Z28" s="78"/>
      <c r="AA28" s="78"/>
      <c r="AG28" s="78"/>
      <c r="AH28" s="78"/>
      <c r="AI28" s="78"/>
      <c r="AJ28" s="78"/>
      <c r="AK28" s="78"/>
      <c r="AL28" s="78"/>
      <c r="AM28" s="78"/>
      <c r="AN28" s="78"/>
      <c r="AO28" s="78"/>
    </row>
    <row r="29" spans="1:41" hidden="1">
      <c r="A29" s="95">
        <v>22</v>
      </c>
      <c r="B29" s="223">
        <f t="shared" si="2"/>
        <v>0</v>
      </c>
      <c r="C29" s="223">
        <f t="shared" si="3"/>
        <v>54.580499999999994</v>
      </c>
      <c r="D29" s="223">
        <f t="shared" si="4"/>
        <v>0</v>
      </c>
      <c r="E29" s="223">
        <f t="shared" si="5"/>
        <v>81.900000000000006</v>
      </c>
      <c r="F29" s="223">
        <f t="shared" si="6"/>
        <v>0</v>
      </c>
      <c r="G29" s="223">
        <f t="shared" si="10"/>
        <v>321.55500000000001</v>
      </c>
      <c r="H29" s="223">
        <f t="shared" si="7"/>
        <v>0</v>
      </c>
      <c r="I29" s="223">
        <f t="shared" si="8"/>
        <v>108.771</v>
      </c>
      <c r="J29" s="223">
        <f t="shared" si="11"/>
        <v>566.80650000000003</v>
      </c>
      <c r="K29" s="223">
        <f t="shared" si="9"/>
        <v>916.64999999999986</v>
      </c>
      <c r="L29" s="78"/>
      <c r="W29" s="78"/>
      <c r="X29" s="78"/>
      <c r="Y29" s="78"/>
      <c r="Z29" s="78"/>
      <c r="AA29" s="78"/>
      <c r="AG29" s="78"/>
      <c r="AH29" s="78"/>
      <c r="AI29" s="78"/>
      <c r="AJ29" s="78"/>
      <c r="AK29" s="78"/>
      <c r="AL29" s="78"/>
      <c r="AM29" s="78"/>
      <c r="AN29" s="78"/>
      <c r="AO29" s="78"/>
    </row>
    <row r="30" spans="1:41" hidden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78"/>
      <c r="W30" s="78"/>
      <c r="X30" s="78"/>
      <c r="Y30" s="78"/>
      <c r="Z30" s="78"/>
      <c r="AA30" s="78"/>
      <c r="AG30" s="78"/>
      <c r="AH30" s="78"/>
      <c r="AI30" s="78"/>
      <c r="AJ30" s="78"/>
      <c r="AK30" s="78"/>
      <c r="AL30" s="78"/>
      <c r="AM30" s="78"/>
      <c r="AN30" s="78"/>
      <c r="AO30" s="78"/>
    </row>
    <row r="31" spans="1:41" hidden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78"/>
      <c r="W31" s="78"/>
      <c r="X31" s="78"/>
      <c r="Y31" s="78"/>
      <c r="Z31" s="78"/>
      <c r="AA31" s="78"/>
      <c r="AG31" s="89"/>
      <c r="AH31" s="89"/>
      <c r="AI31" s="89"/>
      <c r="AJ31" s="89"/>
      <c r="AK31" s="78"/>
      <c r="AL31" s="78"/>
      <c r="AM31" s="78"/>
      <c r="AN31" s="78"/>
      <c r="AO31" s="78"/>
    </row>
    <row r="32" spans="1:41" ht="14.25" hidden="1">
      <c r="A32" s="95" t="s">
        <v>532</v>
      </c>
      <c r="B32" s="95"/>
      <c r="C32" s="95"/>
      <c r="D32" s="95"/>
      <c r="E32" s="95"/>
      <c r="F32" s="95" t="s">
        <v>24</v>
      </c>
      <c r="G32" s="95"/>
      <c r="H32" s="95"/>
      <c r="I32" s="95"/>
      <c r="J32" s="95"/>
      <c r="K32" s="95"/>
      <c r="L32" s="78"/>
      <c r="W32" s="78"/>
      <c r="X32" s="78"/>
      <c r="Y32" s="78"/>
      <c r="Z32" s="78"/>
      <c r="AA32" s="78"/>
      <c r="AG32" s="88"/>
      <c r="AH32" s="88"/>
      <c r="AI32" s="88"/>
      <c r="AJ32" s="88"/>
      <c r="AK32" s="78"/>
      <c r="AL32" s="78"/>
      <c r="AM32" s="78"/>
      <c r="AN32" s="78"/>
      <c r="AO32" s="78"/>
    </row>
    <row r="33" spans="1:41" hidden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78"/>
      <c r="W33" s="78"/>
      <c r="X33" s="78"/>
      <c r="Y33" s="78"/>
      <c r="Z33" s="78"/>
      <c r="AA33" s="78"/>
      <c r="AG33" s="91"/>
      <c r="AH33" s="91"/>
      <c r="AI33" s="91"/>
      <c r="AJ33" s="91"/>
      <c r="AK33" s="78"/>
      <c r="AL33" s="78"/>
      <c r="AM33" s="78"/>
      <c r="AN33" s="78"/>
      <c r="AO33" s="78"/>
    </row>
    <row r="34" spans="1:41" hidden="1">
      <c r="A34" s="95" t="s">
        <v>183</v>
      </c>
      <c r="B34" s="97" t="s">
        <v>188</v>
      </c>
      <c r="C34" s="97" t="s">
        <v>189</v>
      </c>
      <c r="D34" s="97" t="s">
        <v>190</v>
      </c>
      <c r="E34" s="97" t="s">
        <v>191</v>
      </c>
      <c r="F34" s="97" t="s">
        <v>192</v>
      </c>
      <c r="G34" s="97" t="s">
        <v>193</v>
      </c>
      <c r="H34" s="97" t="s">
        <v>194</v>
      </c>
      <c r="I34" s="97" t="s">
        <v>195</v>
      </c>
      <c r="J34" s="97" t="s">
        <v>6</v>
      </c>
      <c r="K34" s="97"/>
      <c r="L34" s="78"/>
      <c r="W34" s="78"/>
      <c r="X34" s="78"/>
      <c r="Y34" s="78"/>
      <c r="Z34" s="78"/>
      <c r="AA34" s="78"/>
      <c r="AG34" s="91"/>
      <c r="AH34" s="91"/>
      <c r="AI34" s="91"/>
      <c r="AJ34" s="91"/>
      <c r="AK34" s="78"/>
      <c r="AL34" s="78"/>
      <c r="AM34" s="78"/>
      <c r="AN34" s="78"/>
      <c r="AO34" s="78"/>
    </row>
    <row r="35" spans="1:41" hidden="1">
      <c r="A35" s="95" t="s">
        <v>181</v>
      </c>
      <c r="B35" s="222">
        <f>+superficies!E11</f>
        <v>0</v>
      </c>
      <c r="C35" s="222">
        <f>+superficies!E10</f>
        <v>15</v>
      </c>
      <c r="D35" s="222">
        <f>+superficies!E9</f>
        <v>0</v>
      </c>
      <c r="E35" s="222">
        <f>+superficies!E8</f>
        <v>0</v>
      </c>
      <c r="F35" s="222">
        <f>+superficies!E15</f>
        <v>0</v>
      </c>
      <c r="G35" s="222">
        <f>+superficies!E14</f>
        <v>0</v>
      </c>
      <c r="H35" s="222">
        <f>+superficies!E13</f>
        <v>0</v>
      </c>
      <c r="I35" s="222">
        <f>+superficies!E12</f>
        <v>0</v>
      </c>
      <c r="J35" s="222">
        <f>+superficies!E18</f>
        <v>0</v>
      </c>
      <c r="K35" s="96"/>
      <c r="L35" s="78"/>
      <c r="W35" s="78"/>
      <c r="X35" s="78"/>
      <c r="Y35" s="78"/>
      <c r="Z35" s="78"/>
      <c r="AA35" s="78"/>
      <c r="AG35" s="91"/>
      <c r="AH35" s="91"/>
      <c r="AI35" s="91"/>
      <c r="AJ35" s="91"/>
      <c r="AK35" s="78"/>
      <c r="AL35" s="78"/>
      <c r="AM35" s="78"/>
      <c r="AN35" s="78"/>
      <c r="AO35" s="78"/>
    </row>
    <row r="36" spans="1:41" hidden="1">
      <c r="A36" s="95" t="s">
        <v>82</v>
      </c>
      <c r="B36" s="222">
        <v>0.65</v>
      </c>
      <c r="C36" s="222">
        <v>0.65</v>
      </c>
      <c r="D36" s="222">
        <v>0.65</v>
      </c>
      <c r="E36" s="222">
        <v>0.65</v>
      </c>
      <c r="F36" s="222">
        <v>0.65</v>
      </c>
      <c r="G36" s="222">
        <v>0.65</v>
      </c>
      <c r="H36" s="222">
        <v>0.65</v>
      </c>
      <c r="I36" s="222">
        <v>0.65</v>
      </c>
      <c r="J36" s="222">
        <f>+'Balance calefacción'!D13</f>
        <v>0.34</v>
      </c>
      <c r="K36" s="96"/>
      <c r="L36" s="78"/>
      <c r="W36" s="78"/>
      <c r="X36" s="78"/>
      <c r="Y36" s="78"/>
      <c r="Z36" s="78"/>
      <c r="AA36" s="78"/>
      <c r="AG36" s="91"/>
      <c r="AH36" s="91"/>
      <c r="AI36" s="91"/>
      <c r="AJ36" s="91"/>
      <c r="AK36" s="78"/>
      <c r="AL36" s="78"/>
      <c r="AM36" s="78"/>
      <c r="AN36" s="78"/>
      <c r="AO36" s="78"/>
    </row>
    <row r="37" spans="1:41" hidden="1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78"/>
      <c r="W37" s="78"/>
      <c r="X37" s="78"/>
      <c r="Y37" s="78"/>
      <c r="Z37" s="78"/>
      <c r="AA37" s="78"/>
      <c r="AG37" s="91"/>
      <c r="AH37" s="91"/>
      <c r="AI37" s="91"/>
      <c r="AJ37" s="91"/>
      <c r="AK37" s="78"/>
      <c r="AL37" s="78"/>
      <c r="AM37" s="78"/>
      <c r="AN37" s="78"/>
      <c r="AO37" s="78"/>
    </row>
    <row r="38" spans="1:41" hidden="1">
      <c r="A38" s="95" t="s">
        <v>533</v>
      </c>
      <c r="B38" s="96"/>
      <c r="C38" s="96"/>
      <c r="D38" s="96"/>
      <c r="E38" s="96"/>
      <c r="F38" s="95" t="s">
        <v>24</v>
      </c>
      <c r="G38" s="96"/>
      <c r="H38" s="96"/>
      <c r="I38" s="96"/>
      <c r="J38" s="96"/>
      <c r="K38" s="96"/>
      <c r="L38" s="78"/>
      <c r="W38" s="78"/>
      <c r="X38" s="78"/>
      <c r="Y38" s="78"/>
      <c r="Z38" s="78"/>
      <c r="AA38" s="78"/>
      <c r="AG38" s="91"/>
      <c r="AH38" s="91"/>
      <c r="AI38" s="91"/>
      <c r="AJ38" s="91"/>
      <c r="AK38" s="78"/>
      <c r="AL38" s="78"/>
      <c r="AM38" s="78"/>
      <c r="AN38" s="78"/>
      <c r="AO38" s="78"/>
    </row>
    <row r="39" spans="1:41" hidden="1">
      <c r="A39" s="95"/>
      <c r="B39" s="96"/>
      <c r="C39" s="96"/>
      <c r="D39" s="96"/>
      <c r="E39" s="96"/>
      <c r="F39" s="96"/>
      <c r="G39" s="96"/>
      <c r="H39" s="96"/>
      <c r="I39" s="96"/>
      <c r="J39" s="95" t="s">
        <v>0</v>
      </c>
      <c r="K39" s="96"/>
      <c r="L39" s="78"/>
      <c r="W39" s="78"/>
      <c r="X39" s="78"/>
      <c r="Y39" s="78"/>
      <c r="Z39" s="78"/>
      <c r="AA39" s="78"/>
      <c r="AG39" s="91"/>
      <c r="AH39" s="91"/>
      <c r="AI39" s="91"/>
      <c r="AJ39" s="91"/>
      <c r="AK39" s="78"/>
      <c r="AL39" s="78"/>
      <c r="AM39" s="78"/>
      <c r="AN39" s="78"/>
      <c r="AO39" s="78"/>
    </row>
    <row r="40" spans="1:41" hidden="1">
      <c r="A40" s="95" t="s">
        <v>183</v>
      </c>
      <c r="B40" s="97" t="s">
        <v>188</v>
      </c>
      <c r="C40" s="97" t="s">
        <v>189</v>
      </c>
      <c r="D40" s="97" t="s">
        <v>190</v>
      </c>
      <c r="E40" s="97" t="s">
        <v>191</v>
      </c>
      <c r="F40" s="97" t="s">
        <v>192</v>
      </c>
      <c r="G40" s="97" t="s">
        <v>193</v>
      </c>
      <c r="H40" s="97" t="s">
        <v>194</v>
      </c>
      <c r="I40" s="97" t="s">
        <v>195</v>
      </c>
      <c r="J40" s="95" t="s">
        <v>394</v>
      </c>
      <c r="K40" s="97" t="s">
        <v>6</v>
      </c>
      <c r="L40" s="78"/>
      <c r="W40" s="78"/>
      <c r="X40" s="78"/>
      <c r="Y40" s="78"/>
      <c r="Z40" s="78"/>
      <c r="AA40" s="78"/>
      <c r="AG40" s="91"/>
      <c r="AH40" s="91"/>
      <c r="AI40" s="91"/>
      <c r="AJ40" s="91"/>
      <c r="AK40" s="78"/>
      <c r="AL40" s="78"/>
      <c r="AM40" s="78"/>
      <c r="AN40" s="78"/>
      <c r="AO40" s="78"/>
    </row>
    <row r="41" spans="1:41" hidden="1">
      <c r="A41" s="95" t="s">
        <v>187</v>
      </c>
      <c r="B41" s="96"/>
      <c r="C41" s="96"/>
      <c r="D41" s="96"/>
      <c r="E41" s="96"/>
      <c r="F41" s="96"/>
      <c r="G41" s="96"/>
      <c r="H41" s="96"/>
      <c r="I41" s="96"/>
      <c r="J41" s="96"/>
      <c r="K41" s="96" t="s">
        <v>2</v>
      </c>
      <c r="L41" s="78"/>
      <c r="W41" s="78"/>
      <c r="X41" s="78"/>
      <c r="Y41" s="78"/>
      <c r="Z41" s="78"/>
      <c r="AA41" s="78"/>
      <c r="AG41" s="91"/>
      <c r="AH41" s="91"/>
      <c r="AI41" s="91"/>
      <c r="AJ41" s="91"/>
      <c r="AK41" s="78"/>
      <c r="AL41" s="78"/>
      <c r="AM41" s="78"/>
      <c r="AN41" s="78"/>
      <c r="AO41" s="78"/>
    </row>
    <row r="42" spans="1:41" hidden="1">
      <c r="A42" s="95">
        <v>0</v>
      </c>
      <c r="B42" s="223">
        <f t="shared" ref="B42:B53" si="12">+B$35*O13*B$36</f>
        <v>0</v>
      </c>
      <c r="C42" s="223">
        <f t="shared" ref="C42:C53" si="13">+C$35*P13*C$36</f>
        <v>39</v>
      </c>
      <c r="D42" s="223">
        <f t="shared" ref="D42:D53" si="14">+D$35*Q13*D$36</f>
        <v>0</v>
      </c>
      <c r="E42" s="223">
        <f t="shared" ref="E42:E53" si="15">+E$35*R13*E$36</f>
        <v>0</v>
      </c>
      <c r="F42" s="223">
        <f t="shared" ref="F42:F53" si="16">+F$35*S13*F$36</f>
        <v>0</v>
      </c>
      <c r="G42" s="223">
        <f t="shared" ref="G42:G53" si="17">+G$35*T13*G$36</f>
        <v>0</v>
      </c>
      <c r="H42" s="223">
        <f t="shared" ref="H42:H53" si="18">+H$35*U13*H$36</f>
        <v>0</v>
      </c>
      <c r="I42" s="223">
        <f t="shared" ref="I42:I53" si="19">+I$35*V13*I$36</f>
        <v>0</v>
      </c>
      <c r="J42" s="223">
        <f t="shared" ref="J42:J53" si="20">SUM(B42:I42)</f>
        <v>39</v>
      </c>
      <c r="K42" s="223">
        <f t="shared" ref="K42:K53" si="21">+J$35*W13*J$36</f>
        <v>0</v>
      </c>
      <c r="L42" s="78"/>
      <c r="W42" s="78"/>
      <c r="X42" s="78"/>
      <c r="Y42" s="78"/>
      <c r="Z42" s="78"/>
      <c r="AA42" s="78"/>
      <c r="AG42" s="91"/>
      <c r="AH42" s="91"/>
      <c r="AI42" s="91"/>
      <c r="AJ42" s="91"/>
      <c r="AK42" s="78"/>
      <c r="AL42" s="78"/>
      <c r="AM42" s="78"/>
      <c r="AN42" s="78"/>
      <c r="AO42" s="78"/>
    </row>
    <row r="43" spans="1:41" hidden="1">
      <c r="A43" s="95">
        <v>2</v>
      </c>
      <c r="B43" s="223">
        <f t="shared" si="12"/>
        <v>0</v>
      </c>
      <c r="C43" s="223">
        <f t="shared" si="13"/>
        <v>29.25</v>
      </c>
      <c r="D43" s="223">
        <f t="shared" si="14"/>
        <v>0</v>
      </c>
      <c r="E43" s="223">
        <f t="shared" si="15"/>
        <v>0</v>
      </c>
      <c r="F43" s="223">
        <f t="shared" si="16"/>
        <v>0</v>
      </c>
      <c r="G43" s="223">
        <f t="shared" si="17"/>
        <v>0</v>
      </c>
      <c r="H43" s="223">
        <f t="shared" si="18"/>
        <v>0</v>
      </c>
      <c r="I43" s="223">
        <f t="shared" si="19"/>
        <v>0</v>
      </c>
      <c r="J43" s="223">
        <f t="shared" si="20"/>
        <v>29.25</v>
      </c>
      <c r="K43" s="223">
        <f t="shared" si="21"/>
        <v>0</v>
      </c>
      <c r="L43" s="78"/>
      <c r="W43" s="78"/>
      <c r="X43" s="78"/>
      <c r="Y43" s="78"/>
      <c r="Z43" s="78"/>
      <c r="AA43" s="78"/>
      <c r="AG43" s="91"/>
      <c r="AH43" s="91"/>
      <c r="AI43" s="91"/>
      <c r="AJ43" s="91"/>
      <c r="AK43" s="78"/>
      <c r="AL43" s="78"/>
      <c r="AM43" s="78"/>
      <c r="AN43" s="78"/>
      <c r="AO43" s="78"/>
    </row>
    <row r="44" spans="1:41" hidden="1">
      <c r="A44" s="95">
        <v>4</v>
      </c>
      <c r="B44" s="223">
        <f t="shared" si="12"/>
        <v>0</v>
      </c>
      <c r="C44" s="223">
        <f t="shared" si="13"/>
        <v>29.25</v>
      </c>
      <c r="D44" s="223">
        <f t="shared" si="14"/>
        <v>0</v>
      </c>
      <c r="E44" s="223">
        <f t="shared" si="15"/>
        <v>0</v>
      </c>
      <c r="F44" s="223">
        <f t="shared" si="16"/>
        <v>0</v>
      </c>
      <c r="G44" s="223">
        <f t="shared" si="17"/>
        <v>0</v>
      </c>
      <c r="H44" s="223">
        <f t="shared" si="18"/>
        <v>0</v>
      </c>
      <c r="I44" s="223">
        <f t="shared" si="19"/>
        <v>0</v>
      </c>
      <c r="J44" s="223">
        <f t="shared" si="20"/>
        <v>29.25</v>
      </c>
      <c r="K44" s="223">
        <f t="shared" si="21"/>
        <v>0</v>
      </c>
      <c r="L44" s="78"/>
      <c r="W44" s="78"/>
      <c r="X44" s="78"/>
      <c r="Y44" s="78"/>
      <c r="Z44" s="78"/>
      <c r="AA44" s="78"/>
      <c r="AG44" s="91"/>
      <c r="AH44" s="91"/>
      <c r="AI44" s="91"/>
      <c r="AJ44" s="91"/>
      <c r="AK44" s="78"/>
      <c r="AL44" s="78"/>
      <c r="AM44" s="78"/>
      <c r="AN44" s="78"/>
      <c r="AO44" s="78"/>
    </row>
    <row r="45" spans="1:41" hidden="1">
      <c r="A45" s="95">
        <v>6</v>
      </c>
      <c r="B45" s="223">
        <f t="shared" si="12"/>
        <v>0</v>
      </c>
      <c r="C45" s="223">
        <f t="shared" si="13"/>
        <v>48.75</v>
      </c>
      <c r="D45" s="223">
        <f t="shared" si="14"/>
        <v>0</v>
      </c>
      <c r="E45" s="223">
        <f t="shared" si="15"/>
        <v>0</v>
      </c>
      <c r="F45" s="223">
        <f t="shared" si="16"/>
        <v>0</v>
      </c>
      <c r="G45" s="223">
        <f t="shared" si="17"/>
        <v>0</v>
      </c>
      <c r="H45" s="223">
        <f t="shared" si="18"/>
        <v>0</v>
      </c>
      <c r="I45" s="223">
        <f t="shared" si="19"/>
        <v>0</v>
      </c>
      <c r="J45" s="223">
        <f t="shared" si="20"/>
        <v>48.75</v>
      </c>
      <c r="K45" s="223">
        <f t="shared" si="21"/>
        <v>0</v>
      </c>
      <c r="L45" s="78"/>
      <c r="W45" s="78"/>
      <c r="X45" s="78"/>
      <c r="Y45" s="78"/>
      <c r="Z45" s="78"/>
      <c r="AA45" s="78"/>
      <c r="AG45" s="78"/>
      <c r="AH45" s="78"/>
      <c r="AI45" s="78"/>
      <c r="AJ45" s="78"/>
      <c r="AK45" s="78"/>
      <c r="AL45" s="78"/>
      <c r="AM45" s="78"/>
      <c r="AN45" s="78"/>
      <c r="AO45" s="78"/>
    </row>
    <row r="46" spans="1:41" hidden="1">
      <c r="A46" s="95">
        <v>8</v>
      </c>
      <c r="B46" s="223">
        <f t="shared" si="12"/>
        <v>0</v>
      </c>
      <c r="C46" s="223">
        <f t="shared" si="13"/>
        <v>58.5</v>
      </c>
      <c r="D46" s="223">
        <f t="shared" si="14"/>
        <v>0</v>
      </c>
      <c r="E46" s="223">
        <f t="shared" si="15"/>
        <v>0</v>
      </c>
      <c r="F46" s="223">
        <f t="shared" si="16"/>
        <v>0</v>
      </c>
      <c r="G46" s="223">
        <f t="shared" si="17"/>
        <v>0</v>
      </c>
      <c r="H46" s="223">
        <f t="shared" si="18"/>
        <v>0</v>
      </c>
      <c r="I46" s="223">
        <f t="shared" si="19"/>
        <v>0</v>
      </c>
      <c r="J46" s="223">
        <f t="shared" si="20"/>
        <v>58.5</v>
      </c>
      <c r="K46" s="223">
        <f t="shared" si="21"/>
        <v>0</v>
      </c>
      <c r="L46" s="78"/>
      <c r="W46" s="78"/>
      <c r="X46" s="78"/>
      <c r="Y46" s="78"/>
      <c r="Z46" s="78"/>
      <c r="AA46" s="78"/>
      <c r="AG46" s="78"/>
      <c r="AH46" s="78"/>
      <c r="AI46" s="78"/>
      <c r="AJ46" s="78"/>
      <c r="AK46" s="78"/>
      <c r="AL46" s="78"/>
      <c r="AM46" s="78"/>
      <c r="AN46" s="78"/>
      <c r="AO46" s="78"/>
    </row>
    <row r="47" spans="1:41" hidden="1">
      <c r="A47" s="95">
        <v>10</v>
      </c>
      <c r="B47" s="223">
        <f t="shared" si="12"/>
        <v>0</v>
      </c>
      <c r="C47" s="223">
        <f t="shared" si="13"/>
        <v>97.5</v>
      </c>
      <c r="D47" s="223">
        <f t="shared" si="14"/>
        <v>0</v>
      </c>
      <c r="E47" s="223">
        <f t="shared" si="15"/>
        <v>0</v>
      </c>
      <c r="F47" s="223">
        <f t="shared" si="16"/>
        <v>0</v>
      </c>
      <c r="G47" s="223">
        <f t="shared" si="17"/>
        <v>0</v>
      </c>
      <c r="H47" s="223">
        <f t="shared" si="18"/>
        <v>0</v>
      </c>
      <c r="I47" s="223">
        <f t="shared" si="19"/>
        <v>0</v>
      </c>
      <c r="J47" s="223">
        <f t="shared" si="20"/>
        <v>97.5</v>
      </c>
      <c r="K47" s="223">
        <f t="shared" si="21"/>
        <v>0</v>
      </c>
      <c r="L47" s="78"/>
      <c r="W47" s="78"/>
      <c r="X47" s="78"/>
      <c r="Y47" s="78"/>
      <c r="Z47" s="78"/>
      <c r="AA47" s="78"/>
      <c r="AG47" s="78"/>
      <c r="AH47" s="78"/>
      <c r="AI47" s="78"/>
      <c r="AJ47" s="78"/>
      <c r="AK47" s="78"/>
      <c r="AL47" s="78"/>
      <c r="AM47" s="78"/>
      <c r="AN47" s="78"/>
      <c r="AO47" s="78"/>
    </row>
    <row r="48" spans="1:41" hidden="1">
      <c r="A48" s="95">
        <v>12</v>
      </c>
      <c r="B48" s="223">
        <f t="shared" si="12"/>
        <v>0</v>
      </c>
      <c r="C48" s="223">
        <f t="shared" si="13"/>
        <v>156</v>
      </c>
      <c r="D48" s="223">
        <f t="shared" si="14"/>
        <v>0</v>
      </c>
      <c r="E48" s="223">
        <f t="shared" si="15"/>
        <v>0</v>
      </c>
      <c r="F48" s="223">
        <f t="shared" si="16"/>
        <v>0</v>
      </c>
      <c r="G48" s="223">
        <f t="shared" si="17"/>
        <v>0</v>
      </c>
      <c r="H48" s="223">
        <f t="shared" si="18"/>
        <v>0</v>
      </c>
      <c r="I48" s="223">
        <f t="shared" si="19"/>
        <v>0</v>
      </c>
      <c r="J48" s="223">
        <f t="shared" si="20"/>
        <v>156</v>
      </c>
      <c r="K48" s="223">
        <f t="shared" si="21"/>
        <v>0</v>
      </c>
      <c r="L48" s="78"/>
      <c r="W48" s="78"/>
      <c r="X48" s="78"/>
      <c r="Y48" s="78"/>
      <c r="Z48" s="78"/>
      <c r="AA48" s="78"/>
      <c r="AG48" s="78"/>
      <c r="AH48" s="78"/>
      <c r="AI48" s="78"/>
      <c r="AJ48" s="78"/>
      <c r="AK48" s="78"/>
      <c r="AL48" s="78"/>
      <c r="AM48" s="78"/>
      <c r="AN48" s="78"/>
      <c r="AO48" s="78"/>
    </row>
    <row r="49" spans="1:41" hidden="1">
      <c r="A49" s="95">
        <v>14</v>
      </c>
      <c r="B49" s="223">
        <f t="shared" si="12"/>
        <v>0</v>
      </c>
      <c r="C49" s="223">
        <f t="shared" si="13"/>
        <v>156</v>
      </c>
      <c r="D49" s="223">
        <f t="shared" si="14"/>
        <v>0</v>
      </c>
      <c r="E49" s="223">
        <f t="shared" si="15"/>
        <v>0</v>
      </c>
      <c r="F49" s="223">
        <f t="shared" si="16"/>
        <v>0</v>
      </c>
      <c r="G49" s="223">
        <f t="shared" si="17"/>
        <v>0</v>
      </c>
      <c r="H49" s="223">
        <f t="shared" si="18"/>
        <v>0</v>
      </c>
      <c r="I49" s="223">
        <f t="shared" si="19"/>
        <v>0</v>
      </c>
      <c r="J49" s="223">
        <f t="shared" si="20"/>
        <v>156</v>
      </c>
      <c r="K49" s="223">
        <f t="shared" si="21"/>
        <v>0</v>
      </c>
      <c r="L49" s="78"/>
      <c r="W49" s="78"/>
      <c r="X49" s="78"/>
      <c r="Y49" s="78"/>
      <c r="Z49" s="78"/>
      <c r="AA49" s="78"/>
      <c r="AG49" s="78"/>
      <c r="AH49" s="78"/>
      <c r="AI49" s="78"/>
      <c r="AJ49" s="78"/>
      <c r="AK49" s="78"/>
      <c r="AL49" s="78"/>
      <c r="AM49" s="78"/>
      <c r="AN49" s="78"/>
      <c r="AO49" s="78"/>
    </row>
    <row r="50" spans="1:41" hidden="1">
      <c r="A50" s="95">
        <v>16</v>
      </c>
      <c r="B50" s="223">
        <f t="shared" si="12"/>
        <v>0</v>
      </c>
      <c r="C50" s="223">
        <f t="shared" si="13"/>
        <v>117</v>
      </c>
      <c r="D50" s="223">
        <f t="shared" si="14"/>
        <v>0</v>
      </c>
      <c r="E50" s="223">
        <f t="shared" si="15"/>
        <v>0</v>
      </c>
      <c r="F50" s="223">
        <f t="shared" si="16"/>
        <v>0</v>
      </c>
      <c r="G50" s="223">
        <f t="shared" si="17"/>
        <v>0</v>
      </c>
      <c r="H50" s="223">
        <f t="shared" si="18"/>
        <v>0</v>
      </c>
      <c r="I50" s="223">
        <f t="shared" si="19"/>
        <v>0</v>
      </c>
      <c r="J50" s="223">
        <f t="shared" si="20"/>
        <v>117</v>
      </c>
      <c r="K50" s="223">
        <f t="shared" si="21"/>
        <v>0</v>
      </c>
      <c r="L50" s="78"/>
      <c r="W50" s="78"/>
      <c r="X50" s="78"/>
      <c r="Y50" s="78"/>
      <c r="Z50" s="78"/>
      <c r="AA50" s="78"/>
      <c r="AG50" s="78"/>
      <c r="AH50" s="78"/>
      <c r="AI50" s="78"/>
      <c r="AJ50" s="78"/>
      <c r="AK50" s="78"/>
      <c r="AL50" s="78"/>
      <c r="AM50" s="78"/>
      <c r="AN50" s="78"/>
      <c r="AO50" s="78"/>
    </row>
    <row r="51" spans="1:41" hidden="1">
      <c r="A51" s="95">
        <v>18</v>
      </c>
      <c r="B51" s="223">
        <f t="shared" si="12"/>
        <v>0</v>
      </c>
      <c r="C51" s="223">
        <f t="shared" si="13"/>
        <v>97.5</v>
      </c>
      <c r="D51" s="223">
        <f t="shared" si="14"/>
        <v>0</v>
      </c>
      <c r="E51" s="223">
        <f t="shared" si="15"/>
        <v>0</v>
      </c>
      <c r="F51" s="223">
        <f t="shared" si="16"/>
        <v>0</v>
      </c>
      <c r="G51" s="223">
        <f t="shared" si="17"/>
        <v>0</v>
      </c>
      <c r="H51" s="223">
        <f t="shared" si="18"/>
        <v>0</v>
      </c>
      <c r="I51" s="223">
        <f t="shared" si="19"/>
        <v>0</v>
      </c>
      <c r="J51" s="223">
        <f t="shared" si="20"/>
        <v>97.5</v>
      </c>
      <c r="K51" s="223">
        <f t="shared" si="21"/>
        <v>0</v>
      </c>
      <c r="L51" s="78"/>
      <c r="W51" s="78"/>
      <c r="X51" s="78"/>
      <c r="Y51" s="78"/>
      <c r="Z51" s="78"/>
      <c r="AA51" s="78"/>
      <c r="AG51" s="78"/>
      <c r="AH51" s="78"/>
      <c r="AI51" s="78"/>
      <c r="AJ51" s="78"/>
      <c r="AK51" s="78"/>
      <c r="AL51" s="78"/>
      <c r="AM51" s="78"/>
      <c r="AN51" s="78"/>
      <c r="AO51" s="78"/>
    </row>
    <row r="52" spans="1:41" hidden="1">
      <c r="A52" s="95">
        <v>20</v>
      </c>
      <c r="B52" s="223">
        <f t="shared" si="12"/>
        <v>0</v>
      </c>
      <c r="C52" s="223">
        <f t="shared" si="13"/>
        <v>97.5</v>
      </c>
      <c r="D52" s="223">
        <f t="shared" si="14"/>
        <v>0</v>
      </c>
      <c r="E52" s="223">
        <f t="shared" si="15"/>
        <v>0</v>
      </c>
      <c r="F52" s="223">
        <f t="shared" si="16"/>
        <v>0</v>
      </c>
      <c r="G52" s="223">
        <f t="shared" si="17"/>
        <v>0</v>
      </c>
      <c r="H52" s="223">
        <f t="shared" si="18"/>
        <v>0</v>
      </c>
      <c r="I52" s="223">
        <f t="shared" si="19"/>
        <v>0</v>
      </c>
      <c r="J52" s="223">
        <f t="shared" si="20"/>
        <v>97.5</v>
      </c>
      <c r="K52" s="223">
        <f t="shared" si="21"/>
        <v>0</v>
      </c>
      <c r="L52" s="78"/>
      <c r="W52" s="78"/>
      <c r="X52" s="78"/>
      <c r="Y52" s="78"/>
      <c r="Z52" s="78"/>
      <c r="AA52" s="78"/>
      <c r="AG52" s="78"/>
      <c r="AH52" s="78"/>
      <c r="AI52" s="78"/>
      <c r="AJ52" s="78"/>
      <c r="AK52" s="78"/>
      <c r="AL52" s="78"/>
      <c r="AM52" s="78"/>
      <c r="AN52" s="78"/>
      <c r="AO52" s="78"/>
    </row>
    <row r="53" spans="1:41" hidden="1">
      <c r="A53" s="96">
        <v>22</v>
      </c>
      <c r="B53" s="223">
        <f t="shared" si="12"/>
        <v>0</v>
      </c>
      <c r="C53" s="223">
        <f t="shared" si="13"/>
        <v>87.75</v>
      </c>
      <c r="D53" s="223">
        <f t="shared" si="14"/>
        <v>0</v>
      </c>
      <c r="E53" s="223">
        <f t="shared" si="15"/>
        <v>0</v>
      </c>
      <c r="F53" s="223">
        <f t="shared" si="16"/>
        <v>0</v>
      </c>
      <c r="G53" s="223">
        <f t="shared" si="17"/>
        <v>0</v>
      </c>
      <c r="H53" s="223">
        <f t="shared" si="18"/>
        <v>0</v>
      </c>
      <c r="I53" s="223">
        <f t="shared" si="19"/>
        <v>0</v>
      </c>
      <c r="J53" s="223">
        <f t="shared" si="20"/>
        <v>87.75</v>
      </c>
      <c r="K53" s="223">
        <f t="shared" si="21"/>
        <v>0</v>
      </c>
      <c r="L53" s="78"/>
      <c r="W53" s="78"/>
      <c r="X53" s="78"/>
      <c r="Y53" s="78"/>
      <c r="Z53" s="78"/>
      <c r="AA53" s="78"/>
      <c r="AG53" s="78"/>
      <c r="AH53" s="78"/>
      <c r="AI53" s="78"/>
      <c r="AJ53" s="78"/>
      <c r="AK53" s="78"/>
      <c r="AL53" s="78"/>
      <c r="AM53" s="78"/>
      <c r="AN53" s="78"/>
      <c r="AO53" s="78"/>
    </row>
    <row r="54" spans="1:41" hidden="1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78"/>
      <c r="W54" s="78"/>
      <c r="X54" s="78"/>
      <c r="Y54" s="78"/>
      <c r="Z54" s="78"/>
      <c r="AA54" s="78"/>
      <c r="AG54" s="78"/>
      <c r="AH54" s="78"/>
      <c r="AI54" s="78"/>
      <c r="AJ54" s="78"/>
      <c r="AK54" s="78"/>
      <c r="AL54" s="78"/>
      <c r="AM54" s="78"/>
      <c r="AN54" s="78"/>
      <c r="AO54" s="78"/>
    </row>
    <row r="55" spans="1:41" hidden="1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78"/>
      <c r="W55" s="78"/>
      <c r="X55" s="78"/>
      <c r="Y55" s="78"/>
      <c r="Z55" s="78"/>
      <c r="AA55" s="78"/>
      <c r="AG55" s="78"/>
      <c r="AH55" s="78"/>
      <c r="AI55" s="78"/>
      <c r="AJ55" s="78"/>
      <c r="AK55" s="78"/>
      <c r="AL55" s="78"/>
      <c r="AM55" s="78"/>
      <c r="AN55" s="78"/>
      <c r="AO55" s="78"/>
    </row>
    <row r="56" spans="1:41" hidden="1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78"/>
      <c r="W56" s="78"/>
      <c r="X56" s="78"/>
      <c r="Y56" s="78"/>
      <c r="Z56" s="78"/>
      <c r="AA56" s="78"/>
      <c r="AG56" s="78"/>
      <c r="AH56" s="78"/>
      <c r="AI56" s="78"/>
      <c r="AJ56" s="78"/>
      <c r="AK56" s="78"/>
      <c r="AL56" s="78"/>
      <c r="AM56" s="78"/>
      <c r="AN56" s="78"/>
      <c r="AO56" s="78"/>
    </row>
    <row r="57" spans="1:41" hidden="1">
      <c r="A57" s="96" t="s">
        <v>197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78"/>
      <c r="W57" s="78"/>
      <c r="X57" s="78"/>
      <c r="Y57" s="78"/>
      <c r="Z57" s="78"/>
      <c r="AA57" s="78"/>
      <c r="AG57" s="78"/>
      <c r="AH57" s="78"/>
      <c r="AI57" s="78"/>
      <c r="AJ57" s="78"/>
      <c r="AK57" s="78"/>
      <c r="AL57" s="78"/>
      <c r="AM57" s="78"/>
      <c r="AN57" s="78"/>
      <c r="AO57" s="78"/>
    </row>
    <row r="58" spans="1:41" hidden="1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78"/>
      <c r="W58" s="78"/>
      <c r="X58" s="78"/>
      <c r="Y58" s="78"/>
      <c r="Z58" s="78"/>
      <c r="AA58" s="78"/>
      <c r="AG58" s="78"/>
      <c r="AH58" s="78"/>
      <c r="AI58" s="78"/>
      <c r="AJ58" s="78"/>
      <c r="AK58" s="78"/>
      <c r="AL58" s="78"/>
      <c r="AM58" s="78"/>
      <c r="AN58" s="78"/>
      <c r="AO58" s="78"/>
    </row>
    <row r="59" spans="1:41" ht="14.25" hidden="1">
      <c r="A59" s="95" t="s">
        <v>529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78"/>
      <c r="W59" s="78"/>
      <c r="X59" s="78"/>
      <c r="Y59" s="78"/>
      <c r="Z59" s="78"/>
      <c r="AA59" s="78"/>
      <c r="AG59" s="78"/>
      <c r="AH59" s="78"/>
      <c r="AI59" s="78"/>
      <c r="AJ59" s="78"/>
      <c r="AK59" s="78"/>
      <c r="AL59" s="78"/>
      <c r="AM59" s="78"/>
      <c r="AN59" s="78"/>
      <c r="AO59" s="78"/>
    </row>
    <row r="60" spans="1:41" hidden="1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78"/>
      <c r="W60" s="78"/>
      <c r="X60" s="78"/>
      <c r="Y60" s="78"/>
      <c r="Z60" s="78"/>
      <c r="AA60" s="78"/>
    </row>
    <row r="61" spans="1:41" hidden="1">
      <c r="A61" s="96" t="s">
        <v>183</v>
      </c>
      <c r="B61" s="96" t="s">
        <v>188</v>
      </c>
      <c r="C61" s="96" t="s">
        <v>189</v>
      </c>
      <c r="D61" s="96" t="s">
        <v>190</v>
      </c>
      <c r="E61" s="96" t="s">
        <v>191</v>
      </c>
      <c r="F61" s="96" t="s">
        <v>192</v>
      </c>
      <c r="G61" s="96" t="s">
        <v>193</v>
      </c>
      <c r="H61" s="96" t="s">
        <v>194</v>
      </c>
      <c r="I61" s="96" t="s">
        <v>195</v>
      </c>
      <c r="J61" s="96"/>
      <c r="K61" s="96"/>
      <c r="N61" s="88" t="s">
        <v>221</v>
      </c>
      <c r="O61" s="8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</row>
    <row r="62" spans="1:41" hidden="1">
      <c r="A62" s="96" t="s">
        <v>181</v>
      </c>
      <c r="B62" s="96">
        <f>+superficies!G11</f>
        <v>0</v>
      </c>
      <c r="C62" s="96">
        <f>+superficies!G10</f>
        <v>2.88</v>
      </c>
      <c r="D62" s="96">
        <f>+superficies!G9</f>
        <v>0</v>
      </c>
      <c r="E62" s="96">
        <f>+superficies!G8</f>
        <v>18</v>
      </c>
      <c r="F62" s="96">
        <f>+superficies!G15</f>
        <v>0</v>
      </c>
      <c r="G62" s="96">
        <f>+superficies!G14</f>
        <v>0</v>
      </c>
      <c r="H62" s="96">
        <f>+superficies!G13</f>
        <v>0</v>
      </c>
      <c r="I62" s="96">
        <f>+superficies!G12</f>
        <v>3.36</v>
      </c>
      <c r="J62" s="96"/>
      <c r="K62" s="96"/>
      <c r="N62" s="88" t="s">
        <v>200</v>
      </c>
      <c r="O62" s="78"/>
      <c r="P62" s="78">
        <v>1.1627000000000001</v>
      </c>
      <c r="Q62" s="78" t="s">
        <v>201</v>
      </c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41" hidden="1">
      <c r="A63" s="96" t="s">
        <v>82</v>
      </c>
      <c r="B63" s="96">
        <f>+'Balance calefacción'!D14</f>
        <v>4.3</v>
      </c>
      <c r="C63" s="96">
        <f>+'Balance calefacción'!Y19</f>
        <v>4.3</v>
      </c>
      <c r="D63" s="96">
        <f>+'Balance calefacción'!Y18</f>
        <v>4.3</v>
      </c>
      <c r="E63" s="96">
        <f>+'Balance calefacción'!Y18</f>
        <v>4.3</v>
      </c>
      <c r="F63" s="96">
        <f>+'Balance calefacción'!Y18</f>
        <v>4.3</v>
      </c>
      <c r="G63" s="96">
        <f>+'Balance calefacción'!Y19</f>
        <v>4.3</v>
      </c>
      <c r="H63" s="96">
        <f>+'Balance calefacción'!D14</f>
        <v>4.3</v>
      </c>
      <c r="I63" s="96">
        <f>+'Balance calefacción'!D14</f>
        <v>4.3</v>
      </c>
      <c r="J63" s="96"/>
      <c r="K63" s="96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</row>
    <row r="64" spans="1:41" hidden="1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N64" s="88" t="s">
        <v>183</v>
      </c>
      <c r="O64" s="89" t="s">
        <v>188</v>
      </c>
      <c r="P64" s="89" t="s">
        <v>189</v>
      </c>
      <c r="Q64" s="89" t="s">
        <v>190</v>
      </c>
      <c r="R64" s="89" t="s">
        <v>191</v>
      </c>
      <c r="S64" s="89" t="s">
        <v>192</v>
      </c>
      <c r="T64" s="89" t="s">
        <v>193</v>
      </c>
      <c r="U64" s="89" t="s">
        <v>194</v>
      </c>
      <c r="V64" s="89" t="s">
        <v>195</v>
      </c>
      <c r="W64" s="89" t="s">
        <v>6</v>
      </c>
      <c r="X64" s="78"/>
      <c r="Y64" s="78"/>
      <c r="Z64" s="78"/>
      <c r="AA64" s="78"/>
    </row>
    <row r="65" spans="1:27" hidden="1">
      <c r="A65" s="95" t="s">
        <v>202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N65" s="88" t="s">
        <v>187</v>
      </c>
      <c r="O65" s="88"/>
      <c r="P65" s="88"/>
      <c r="Q65" s="88"/>
      <c r="R65" s="88"/>
      <c r="S65" s="88"/>
      <c r="T65" s="88"/>
      <c r="U65" s="88"/>
      <c r="V65" s="88"/>
      <c r="W65" s="88"/>
      <c r="X65" s="78"/>
      <c r="Y65" s="78"/>
      <c r="Z65" s="78"/>
      <c r="AA65" s="78"/>
    </row>
    <row r="66" spans="1:27" hidden="1">
      <c r="A66" s="96"/>
      <c r="B66" s="96"/>
      <c r="C66" s="96"/>
      <c r="D66" s="96"/>
      <c r="E66" s="96"/>
      <c r="F66" s="96"/>
      <c r="G66" s="96" t="s">
        <v>2</v>
      </c>
      <c r="H66" s="96"/>
      <c r="I66" s="96"/>
      <c r="J66" s="96"/>
      <c r="K66" s="96"/>
      <c r="N66" s="78">
        <v>0</v>
      </c>
      <c r="O66" s="224">
        <v>0</v>
      </c>
      <c r="P66" s="224">
        <v>0</v>
      </c>
      <c r="Q66" s="224">
        <v>0</v>
      </c>
      <c r="R66" s="224">
        <v>0</v>
      </c>
      <c r="S66" s="224">
        <v>0</v>
      </c>
      <c r="T66" s="224">
        <v>0</v>
      </c>
      <c r="U66" s="224">
        <v>0</v>
      </c>
      <c r="V66" s="224">
        <v>0</v>
      </c>
      <c r="W66" s="224">
        <v>0</v>
      </c>
      <c r="X66" s="78"/>
      <c r="Y66" s="78"/>
      <c r="Z66" s="78"/>
      <c r="AA66" s="78"/>
    </row>
    <row r="67" spans="1:27" hidden="1">
      <c r="A67" s="96" t="s">
        <v>183</v>
      </c>
      <c r="B67" s="96" t="s">
        <v>188</v>
      </c>
      <c r="C67" s="96" t="s">
        <v>189</v>
      </c>
      <c r="D67" s="96" t="s">
        <v>190</v>
      </c>
      <c r="E67" s="96" t="s">
        <v>191</v>
      </c>
      <c r="F67" s="96" t="s">
        <v>192</v>
      </c>
      <c r="G67" s="96" t="s">
        <v>193</v>
      </c>
      <c r="H67" s="96" t="s">
        <v>194</v>
      </c>
      <c r="I67" s="96" t="s">
        <v>195</v>
      </c>
      <c r="J67" s="96" t="s">
        <v>0</v>
      </c>
      <c r="K67" s="96"/>
      <c r="N67" s="78">
        <v>2</v>
      </c>
      <c r="O67" s="224">
        <v>0</v>
      </c>
      <c r="P67" s="224">
        <v>0</v>
      </c>
      <c r="Q67" s="224">
        <v>0</v>
      </c>
      <c r="R67" s="224">
        <v>0</v>
      </c>
      <c r="S67" s="224">
        <v>0</v>
      </c>
      <c r="T67" s="224">
        <v>0</v>
      </c>
      <c r="U67" s="224">
        <v>0</v>
      </c>
      <c r="V67" s="224">
        <v>0</v>
      </c>
      <c r="W67" s="224">
        <v>0</v>
      </c>
      <c r="X67" s="78"/>
      <c r="Y67" s="78"/>
      <c r="Z67" s="78"/>
      <c r="AA67" s="78"/>
    </row>
    <row r="68" spans="1:27" hidden="1">
      <c r="A68" s="96" t="s">
        <v>187</v>
      </c>
      <c r="B68" s="96"/>
      <c r="C68" s="96"/>
      <c r="D68" s="96"/>
      <c r="E68" s="96"/>
      <c r="F68" s="96"/>
      <c r="G68" s="96"/>
      <c r="H68" s="96"/>
      <c r="I68" s="96"/>
      <c r="J68" s="96" t="s">
        <v>2</v>
      </c>
      <c r="K68" s="96"/>
      <c r="N68" s="78">
        <v>4</v>
      </c>
      <c r="O68" s="224">
        <v>0</v>
      </c>
      <c r="P68" s="224">
        <v>0</v>
      </c>
      <c r="Q68" s="224">
        <v>0</v>
      </c>
      <c r="R68" s="224">
        <v>0</v>
      </c>
      <c r="S68" s="224">
        <v>0</v>
      </c>
      <c r="T68" s="224">
        <v>0</v>
      </c>
      <c r="U68" s="224">
        <v>0</v>
      </c>
      <c r="V68" s="224">
        <v>0</v>
      </c>
      <c r="W68" s="224">
        <v>0</v>
      </c>
      <c r="X68" s="78"/>
      <c r="Y68" s="78"/>
      <c r="Z68" s="78"/>
      <c r="AA68" s="78"/>
    </row>
    <row r="69" spans="1:27" hidden="1">
      <c r="A69" s="96">
        <v>0</v>
      </c>
      <c r="B69" s="96">
        <f t="shared" ref="B69:I80" si="22">+B$62*B$63*($AA12-$G$266)</f>
        <v>0</v>
      </c>
      <c r="C69" s="96">
        <f t="shared" si="22"/>
        <v>12.2700672</v>
      </c>
      <c r="D69" s="96">
        <f t="shared" si="22"/>
        <v>0</v>
      </c>
      <c r="E69" s="96">
        <f t="shared" si="22"/>
        <v>76.687920000000005</v>
      </c>
      <c r="F69" s="96">
        <f t="shared" si="22"/>
        <v>0</v>
      </c>
      <c r="G69" s="96">
        <f t="shared" si="22"/>
        <v>0</v>
      </c>
      <c r="H69" s="96">
        <f t="shared" si="22"/>
        <v>0</v>
      </c>
      <c r="I69" s="96">
        <f t="shared" si="22"/>
        <v>14.315078400000001</v>
      </c>
      <c r="J69" s="96">
        <f>SUM(B69:I69)</f>
        <v>103.27306560000001</v>
      </c>
      <c r="K69" s="96"/>
      <c r="N69" s="78">
        <v>6</v>
      </c>
      <c r="O69" s="224">
        <v>359.27430000000004</v>
      </c>
      <c r="P69" s="224">
        <v>279.048</v>
      </c>
      <c r="Q69" s="224">
        <v>0</v>
      </c>
      <c r="R69" s="224">
        <v>0</v>
      </c>
      <c r="S69" s="224">
        <v>0</v>
      </c>
      <c r="T69" s="224">
        <v>0</v>
      </c>
      <c r="U69" s="224">
        <v>0</v>
      </c>
      <c r="V69" s="224">
        <v>90.690600000000003</v>
      </c>
      <c r="W69" s="224">
        <v>80.226300000000009</v>
      </c>
      <c r="X69" s="78"/>
      <c r="Y69" s="78"/>
      <c r="Z69" s="78"/>
      <c r="AA69" s="78"/>
    </row>
    <row r="70" spans="1:27" hidden="1">
      <c r="A70" s="96">
        <v>2</v>
      </c>
      <c r="B70" s="96">
        <f t="shared" si="22"/>
        <v>0</v>
      </c>
      <c r="C70" s="96">
        <f t="shared" si="22"/>
        <v>-4.5870335999999998</v>
      </c>
      <c r="D70" s="96">
        <f t="shared" si="22"/>
        <v>0</v>
      </c>
      <c r="E70" s="96">
        <f t="shared" si="22"/>
        <v>-28.668960000000002</v>
      </c>
      <c r="F70" s="96">
        <f t="shared" si="22"/>
        <v>0</v>
      </c>
      <c r="G70" s="96">
        <f t="shared" si="22"/>
        <v>0</v>
      </c>
      <c r="H70" s="96">
        <f t="shared" si="22"/>
        <v>0</v>
      </c>
      <c r="I70" s="96">
        <f t="shared" si="22"/>
        <v>-5.3515392000000004</v>
      </c>
      <c r="J70" s="96">
        <f t="shared" ref="J70:J80" si="23">SUM(B70:I70)</f>
        <v>-38.607532800000001</v>
      </c>
      <c r="K70" s="96"/>
      <c r="N70" s="78">
        <v>8</v>
      </c>
      <c r="O70" s="224">
        <v>381.36560000000003</v>
      </c>
      <c r="P70" s="224">
        <v>515.0761</v>
      </c>
      <c r="Q70" s="224">
        <v>433.68710000000004</v>
      </c>
      <c r="R70" s="224">
        <v>93.016000000000005</v>
      </c>
      <c r="S70" s="224">
        <v>29.067499999999999</v>
      </c>
      <c r="T70" s="224">
        <v>37.206400000000002</v>
      </c>
      <c r="U70" s="224">
        <v>37.206400000000002</v>
      </c>
      <c r="V70" s="224">
        <v>44.182600000000001</v>
      </c>
      <c r="W70" s="224">
        <v>422.06010000000003</v>
      </c>
      <c r="X70" s="78"/>
      <c r="Y70" s="78"/>
      <c r="Z70" s="78"/>
      <c r="AA70" s="78"/>
    </row>
    <row r="71" spans="1:27" hidden="1">
      <c r="A71" s="96">
        <v>4</v>
      </c>
      <c r="B71" s="96">
        <f t="shared" si="22"/>
        <v>0</v>
      </c>
      <c r="C71" s="96">
        <f t="shared" si="22"/>
        <v>-21.444134399999999</v>
      </c>
      <c r="D71" s="96">
        <f t="shared" si="22"/>
        <v>0</v>
      </c>
      <c r="E71" s="96">
        <f t="shared" si="22"/>
        <v>-134.02584000000002</v>
      </c>
      <c r="F71" s="96">
        <f t="shared" si="22"/>
        <v>0</v>
      </c>
      <c r="G71" s="96">
        <f t="shared" si="22"/>
        <v>0</v>
      </c>
      <c r="H71" s="96">
        <f t="shared" si="22"/>
        <v>0</v>
      </c>
      <c r="I71" s="96">
        <f t="shared" si="22"/>
        <v>-25.0181568</v>
      </c>
      <c r="J71" s="96">
        <f t="shared" si="23"/>
        <v>-180.4881312</v>
      </c>
      <c r="K71" s="96"/>
      <c r="N71" s="78">
        <v>10</v>
      </c>
      <c r="O71" s="224">
        <v>127.89700000000001</v>
      </c>
      <c r="P71" s="224">
        <v>316.25440000000003</v>
      </c>
      <c r="Q71" s="224">
        <v>474.38160000000005</v>
      </c>
      <c r="R71" s="224">
        <v>301.13929999999999</v>
      </c>
      <c r="S71" s="224">
        <v>44.182600000000001</v>
      </c>
      <c r="T71" s="224">
        <v>44.182600000000001</v>
      </c>
      <c r="U71" s="224">
        <v>44.182600000000001</v>
      </c>
      <c r="V71" s="224">
        <v>44.182600000000001</v>
      </c>
      <c r="W71" s="224">
        <v>674.36599999999999</v>
      </c>
      <c r="X71" s="78"/>
      <c r="Y71" s="78"/>
      <c r="Z71" s="78"/>
      <c r="AA71" s="78"/>
    </row>
    <row r="72" spans="1:27" hidden="1">
      <c r="A72" s="96">
        <v>6</v>
      </c>
      <c r="B72" s="96">
        <f t="shared" si="22"/>
        <v>0</v>
      </c>
      <c r="C72" s="96">
        <f t="shared" si="22"/>
        <v>-32.817599999999977</v>
      </c>
      <c r="D72" s="96">
        <f t="shared" si="22"/>
        <v>0</v>
      </c>
      <c r="E72" s="96">
        <f t="shared" si="22"/>
        <v>-205.10999999999987</v>
      </c>
      <c r="F72" s="96">
        <f t="shared" si="22"/>
        <v>0</v>
      </c>
      <c r="G72" s="96">
        <f t="shared" si="22"/>
        <v>0</v>
      </c>
      <c r="H72" s="96">
        <f t="shared" si="22"/>
        <v>0</v>
      </c>
      <c r="I72" s="96">
        <f t="shared" si="22"/>
        <v>-38.287199999999977</v>
      </c>
      <c r="J72" s="96">
        <f t="shared" si="23"/>
        <v>-276.2147999999998</v>
      </c>
      <c r="K72" s="96"/>
      <c r="N72" s="78">
        <v>12</v>
      </c>
      <c r="O72" s="224">
        <v>44.182600000000001</v>
      </c>
      <c r="P72" s="224">
        <v>44.182600000000001</v>
      </c>
      <c r="Q72" s="224">
        <v>249.98050000000001</v>
      </c>
      <c r="R72" s="224">
        <v>389.50450000000001</v>
      </c>
      <c r="S72" s="224">
        <v>249.98050000000001</v>
      </c>
      <c r="T72" s="224">
        <v>44.182600000000001</v>
      </c>
      <c r="U72" s="224">
        <v>44.182600000000001</v>
      </c>
      <c r="V72" s="224">
        <v>41.857200000000006</v>
      </c>
      <c r="W72" s="224">
        <v>773.19550000000004</v>
      </c>
      <c r="X72" s="78"/>
      <c r="Y72" s="78"/>
      <c r="Z72" s="78"/>
      <c r="AA72" s="78"/>
    </row>
    <row r="73" spans="1:27" hidden="1">
      <c r="A73" s="96">
        <v>8</v>
      </c>
      <c r="B73" s="96">
        <f t="shared" si="22"/>
        <v>0</v>
      </c>
      <c r="C73" s="96">
        <f t="shared" si="22"/>
        <v>-10.273766399999989</v>
      </c>
      <c r="D73" s="96">
        <f t="shared" si="22"/>
        <v>0</v>
      </c>
      <c r="E73" s="96">
        <f t="shared" si="22"/>
        <v>-64.21103999999994</v>
      </c>
      <c r="F73" s="96">
        <f t="shared" si="22"/>
        <v>0</v>
      </c>
      <c r="G73" s="96">
        <f t="shared" si="22"/>
        <v>0</v>
      </c>
      <c r="H73" s="96">
        <f t="shared" si="22"/>
        <v>0</v>
      </c>
      <c r="I73" s="96">
        <f t="shared" si="22"/>
        <v>-11.986060799999988</v>
      </c>
      <c r="J73" s="96">
        <f t="shared" si="23"/>
        <v>-86.470867199999915</v>
      </c>
      <c r="K73" s="96"/>
      <c r="N73" s="78">
        <v>14</v>
      </c>
      <c r="O73" s="224">
        <v>44.182600000000001</v>
      </c>
      <c r="P73" s="224">
        <v>44.182600000000001</v>
      </c>
      <c r="Q73" s="224">
        <v>44.182600000000001</v>
      </c>
      <c r="R73" s="224">
        <v>301.13929999999999</v>
      </c>
      <c r="S73" s="224">
        <v>474.38160000000005</v>
      </c>
      <c r="T73" s="224">
        <v>316.25440000000003</v>
      </c>
      <c r="U73" s="224">
        <v>127.89700000000001</v>
      </c>
      <c r="V73" s="224">
        <v>44.182600000000001</v>
      </c>
      <c r="W73" s="224">
        <v>674.36599999999999</v>
      </c>
      <c r="X73" s="78"/>
      <c r="Y73" s="78"/>
      <c r="Z73" s="78"/>
      <c r="AA73" s="78"/>
    </row>
    <row r="74" spans="1:27" hidden="1">
      <c r="A74" s="96">
        <v>10</v>
      </c>
      <c r="B74" s="96">
        <f t="shared" si="22"/>
        <v>0</v>
      </c>
      <c r="C74" s="96">
        <f t="shared" si="22"/>
        <v>85.588300799999999</v>
      </c>
      <c r="D74" s="96">
        <f t="shared" si="22"/>
        <v>0</v>
      </c>
      <c r="E74" s="96">
        <f t="shared" si="22"/>
        <v>534.92687999999998</v>
      </c>
      <c r="F74" s="96">
        <f t="shared" si="22"/>
        <v>0</v>
      </c>
      <c r="G74" s="96">
        <f t="shared" si="22"/>
        <v>0</v>
      </c>
      <c r="H74" s="96">
        <f t="shared" si="22"/>
        <v>0</v>
      </c>
      <c r="I74" s="96">
        <f t="shared" si="22"/>
        <v>99.853017600000001</v>
      </c>
      <c r="J74" s="96">
        <f t="shared" si="23"/>
        <v>720.36819839999998</v>
      </c>
      <c r="K74" s="96"/>
      <c r="N74" s="78">
        <v>16</v>
      </c>
      <c r="O74" s="224">
        <v>37.206400000000002</v>
      </c>
      <c r="P74" s="224">
        <v>37.206400000000002</v>
      </c>
      <c r="Q74" s="224">
        <v>29.067499999999999</v>
      </c>
      <c r="R74" s="224">
        <v>93.016000000000005</v>
      </c>
      <c r="S74" s="224">
        <v>433.68710000000004</v>
      </c>
      <c r="T74" s="224">
        <v>515.0761</v>
      </c>
      <c r="U74" s="224">
        <v>381.36560000000003</v>
      </c>
      <c r="V74" s="224">
        <v>44.182600000000001</v>
      </c>
      <c r="W74" s="224">
        <v>422.06010000000003</v>
      </c>
      <c r="X74" s="78"/>
      <c r="Y74" s="78"/>
      <c r="Z74" s="78"/>
      <c r="AA74" s="78"/>
    </row>
    <row r="75" spans="1:27" hidden="1">
      <c r="A75" s="96">
        <v>12</v>
      </c>
      <c r="B75" s="96">
        <f t="shared" si="22"/>
        <v>0</v>
      </c>
      <c r="C75" s="96">
        <f t="shared" si="22"/>
        <v>142.04943359999996</v>
      </c>
      <c r="D75" s="96">
        <f t="shared" si="22"/>
        <v>0</v>
      </c>
      <c r="E75" s="96">
        <f t="shared" si="22"/>
        <v>887.80895999999973</v>
      </c>
      <c r="F75" s="96">
        <f t="shared" si="22"/>
        <v>0</v>
      </c>
      <c r="G75" s="96">
        <f t="shared" si="22"/>
        <v>0</v>
      </c>
      <c r="H75" s="96">
        <f t="shared" si="22"/>
        <v>0</v>
      </c>
      <c r="I75" s="96">
        <f t="shared" si="22"/>
        <v>165.72433919999995</v>
      </c>
      <c r="J75" s="96">
        <f t="shared" si="23"/>
        <v>1195.5827327999998</v>
      </c>
      <c r="K75" s="96"/>
      <c r="N75" s="78">
        <v>18</v>
      </c>
      <c r="O75" s="224">
        <v>0</v>
      </c>
      <c r="P75" s="224">
        <v>0</v>
      </c>
      <c r="Q75" s="224">
        <v>0</v>
      </c>
      <c r="R75" s="224">
        <v>0</v>
      </c>
      <c r="S75" s="224">
        <v>0</v>
      </c>
      <c r="T75" s="224">
        <v>279.048</v>
      </c>
      <c r="U75" s="224">
        <v>359.27430000000004</v>
      </c>
      <c r="V75" s="224">
        <v>90.690600000000003</v>
      </c>
      <c r="W75" s="224">
        <v>80.226300000000009</v>
      </c>
      <c r="X75" s="78"/>
      <c r="Y75" s="78"/>
      <c r="Z75" s="78"/>
      <c r="AA75" s="78"/>
    </row>
    <row r="76" spans="1:27" hidden="1">
      <c r="A76" s="96">
        <v>14</v>
      </c>
      <c r="B76" s="96">
        <f t="shared" si="22"/>
        <v>0</v>
      </c>
      <c r="C76" s="96">
        <f t="shared" si="22"/>
        <v>170.27999999999997</v>
      </c>
      <c r="D76" s="96">
        <f t="shared" si="22"/>
        <v>0</v>
      </c>
      <c r="E76" s="96">
        <f t="shared" si="22"/>
        <v>1064.2499999999998</v>
      </c>
      <c r="F76" s="96">
        <f t="shared" si="22"/>
        <v>0</v>
      </c>
      <c r="G76" s="96">
        <f t="shared" si="22"/>
        <v>0</v>
      </c>
      <c r="H76" s="96">
        <f t="shared" si="22"/>
        <v>0</v>
      </c>
      <c r="I76" s="96">
        <f t="shared" si="22"/>
        <v>198.65999999999997</v>
      </c>
      <c r="J76" s="96">
        <f t="shared" si="23"/>
        <v>1433.1899999999996</v>
      </c>
      <c r="K76" s="96"/>
      <c r="N76" s="78">
        <v>20</v>
      </c>
      <c r="O76" s="224">
        <v>0</v>
      </c>
      <c r="P76" s="224">
        <v>0</v>
      </c>
      <c r="Q76" s="224">
        <v>0</v>
      </c>
      <c r="R76" s="224">
        <v>0</v>
      </c>
      <c r="S76" s="224">
        <v>0</v>
      </c>
      <c r="T76" s="224">
        <v>0</v>
      </c>
      <c r="U76" s="224">
        <v>0</v>
      </c>
      <c r="V76" s="224">
        <v>0</v>
      </c>
      <c r="W76" s="224">
        <v>0</v>
      </c>
      <c r="X76" s="78"/>
      <c r="Y76" s="78"/>
      <c r="Z76" s="78"/>
      <c r="AA76" s="78"/>
    </row>
    <row r="77" spans="1:27" hidden="1">
      <c r="A77" s="96">
        <v>16</v>
      </c>
      <c r="B77" s="96">
        <f t="shared" si="22"/>
        <v>0</v>
      </c>
      <c r="C77" s="96">
        <f t="shared" si="22"/>
        <v>153.42289920000002</v>
      </c>
      <c r="D77" s="96">
        <f t="shared" si="22"/>
        <v>0</v>
      </c>
      <c r="E77" s="96">
        <f t="shared" si="22"/>
        <v>958.89312000000018</v>
      </c>
      <c r="F77" s="96">
        <f t="shared" si="22"/>
        <v>0</v>
      </c>
      <c r="G77" s="96">
        <f t="shared" si="22"/>
        <v>0</v>
      </c>
      <c r="H77" s="96">
        <f t="shared" si="22"/>
        <v>0</v>
      </c>
      <c r="I77" s="96">
        <f t="shared" si="22"/>
        <v>178.99338240000003</v>
      </c>
      <c r="J77" s="96">
        <f t="shared" si="23"/>
        <v>1291.3094016000002</v>
      </c>
      <c r="K77" s="96"/>
      <c r="N77" s="78">
        <v>22</v>
      </c>
      <c r="O77" s="224">
        <v>0</v>
      </c>
      <c r="P77" s="224">
        <v>0</v>
      </c>
      <c r="Q77" s="224">
        <v>0</v>
      </c>
      <c r="R77" s="224">
        <v>0</v>
      </c>
      <c r="S77" s="224">
        <v>0</v>
      </c>
      <c r="T77" s="224">
        <v>0</v>
      </c>
      <c r="U77" s="224">
        <v>0</v>
      </c>
      <c r="V77" s="224">
        <v>0</v>
      </c>
      <c r="W77" s="224">
        <v>0</v>
      </c>
      <c r="X77" s="78"/>
      <c r="Y77" s="78"/>
      <c r="Z77" s="78"/>
      <c r="AA77" s="78"/>
    </row>
    <row r="78" spans="1:27" hidden="1">
      <c r="A78" s="96">
        <v>18</v>
      </c>
      <c r="B78" s="96">
        <f t="shared" si="22"/>
        <v>0</v>
      </c>
      <c r="C78" s="96">
        <f t="shared" si="22"/>
        <v>108.13213439999998</v>
      </c>
      <c r="D78" s="96">
        <f t="shared" si="22"/>
        <v>0</v>
      </c>
      <c r="E78" s="96">
        <f t="shared" si="22"/>
        <v>675.82583999999997</v>
      </c>
      <c r="F78" s="96">
        <f t="shared" si="22"/>
        <v>0</v>
      </c>
      <c r="G78" s="96">
        <f t="shared" si="22"/>
        <v>0</v>
      </c>
      <c r="H78" s="96">
        <f t="shared" si="22"/>
        <v>0</v>
      </c>
      <c r="I78" s="96">
        <f t="shared" si="22"/>
        <v>126.1541568</v>
      </c>
      <c r="J78" s="96">
        <f t="shared" si="23"/>
        <v>910.11213120000002</v>
      </c>
      <c r="K78" s="96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 hidden="1">
      <c r="A79" s="96">
        <v>20</v>
      </c>
      <c r="B79" s="96">
        <f t="shared" si="22"/>
        <v>0</v>
      </c>
      <c r="C79" s="96">
        <f t="shared" si="22"/>
        <v>57.357734399999977</v>
      </c>
      <c r="D79" s="96">
        <f t="shared" si="22"/>
        <v>0</v>
      </c>
      <c r="E79" s="96">
        <f t="shared" si="22"/>
        <v>358.48583999999988</v>
      </c>
      <c r="F79" s="96">
        <f t="shared" si="22"/>
        <v>0</v>
      </c>
      <c r="G79" s="96">
        <f t="shared" si="22"/>
        <v>0</v>
      </c>
      <c r="H79" s="96">
        <f t="shared" si="22"/>
        <v>0</v>
      </c>
      <c r="I79" s="96">
        <f t="shared" si="22"/>
        <v>66.917356799999979</v>
      </c>
      <c r="J79" s="96">
        <f t="shared" si="23"/>
        <v>482.76093119999985</v>
      </c>
      <c r="K79" s="96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 hidden="1">
      <c r="A80" s="96">
        <v>22</v>
      </c>
      <c r="B80" s="96">
        <f t="shared" si="22"/>
        <v>0</v>
      </c>
      <c r="C80" s="96">
        <f t="shared" si="22"/>
        <v>29.939558399999999</v>
      </c>
      <c r="D80" s="96">
        <f t="shared" si="22"/>
        <v>0</v>
      </c>
      <c r="E80" s="96">
        <f t="shared" si="22"/>
        <v>187.12224000000001</v>
      </c>
      <c r="F80" s="96">
        <f t="shared" si="22"/>
        <v>0</v>
      </c>
      <c r="G80" s="96">
        <f t="shared" si="22"/>
        <v>0</v>
      </c>
      <c r="H80" s="96">
        <f t="shared" si="22"/>
        <v>0</v>
      </c>
      <c r="I80" s="96">
        <f t="shared" si="22"/>
        <v>34.929484799999997</v>
      </c>
      <c r="J80" s="96">
        <f t="shared" si="23"/>
        <v>251.9912832</v>
      </c>
      <c r="K80" s="96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:32" hidden="1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</row>
    <row r="82" spans="1:32" hidden="1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:32" hidden="1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:32" hidden="1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:3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:32">
      <c r="A86" s="95" t="s">
        <v>216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:3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  <row r="88" spans="1:32">
      <c r="A88" s="96" t="s">
        <v>183</v>
      </c>
      <c r="B88" s="127" t="s">
        <v>188</v>
      </c>
      <c r="C88" s="127" t="s">
        <v>189</v>
      </c>
      <c r="D88" s="127" t="s">
        <v>190</v>
      </c>
      <c r="E88" s="127" t="s">
        <v>191</v>
      </c>
      <c r="F88" s="127" t="s">
        <v>192</v>
      </c>
      <c r="G88" s="127" t="s">
        <v>193</v>
      </c>
      <c r="H88" s="127" t="s">
        <v>194</v>
      </c>
      <c r="I88" s="127" t="s">
        <v>195</v>
      </c>
      <c r="J88" s="127"/>
      <c r="K88" s="96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</row>
    <row r="89" spans="1:32">
      <c r="A89" s="96" t="s">
        <v>181</v>
      </c>
      <c r="B89" s="127">
        <f>+B62</f>
        <v>0</v>
      </c>
      <c r="C89" s="127">
        <f>+C62</f>
        <v>2.88</v>
      </c>
      <c r="D89" s="127">
        <f t="shared" ref="D89:I89" si="24">+D62</f>
        <v>0</v>
      </c>
      <c r="E89" s="127">
        <f t="shared" si="24"/>
        <v>18</v>
      </c>
      <c r="F89" s="127">
        <f t="shared" si="24"/>
        <v>0</v>
      </c>
      <c r="G89" s="127">
        <f t="shared" si="24"/>
        <v>0</v>
      </c>
      <c r="H89" s="127">
        <f t="shared" si="24"/>
        <v>0</v>
      </c>
      <c r="I89" s="127">
        <f t="shared" si="24"/>
        <v>3.36</v>
      </c>
      <c r="J89" s="127"/>
      <c r="K89" s="96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</row>
    <row r="90" spans="1:32">
      <c r="A90" s="96"/>
      <c r="B90" s="127"/>
      <c r="C90" s="127"/>
      <c r="D90" s="127"/>
      <c r="E90" s="127"/>
      <c r="F90" s="127"/>
      <c r="G90" s="127"/>
      <c r="H90" s="127"/>
      <c r="I90" s="127"/>
      <c r="J90" s="127"/>
      <c r="K90" s="96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</row>
    <row r="91" spans="1:32">
      <c r="A91" s="95" t="s">
        <v>460</v>
      </c>
      <c r="B91" s="127"/>
      <c r="C91" s="127"/>
      <c r="D91" s="127"/>
      <c r="E91" s="127"/>
      <c r="F91" s="127"/>
      <c r="G91" s="127"/>
      <c r="H91" s="127"/>
      <c r="I91" s="127"/>
      <c r="J91" s="127"/>
      <c r="K91" s="96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E91" s="245"/>
      <c r="AF91" s="245"/>
    </row>
    <row r="92" spans="1:32">
      <c r="A92" s="96"/>
      <c r="B92" s="367">
        <v>0.5</v>
      </c>
      <c r="C92" s="367">
        <v>0.2</v>
      </c>
      <c r="D92" s="367">
        <v>0.5</v>
      </c>
      <c r="E92" s="367">
        <v>0.2</v>
      </c>
      <c r="F92" s="367">
        <v>0.5</v>
      </c>
      <c r="G92" s="367">
        <v>0.2</v>
      </c>
      <c r="H92" s="367">
        <v>0.5</v>
      </c>
      <c r="I92" s="367">
        <v>0.2</v>
      </c>
      <c r="J92" s="127"/>
      <c r="K92" s="96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C92" s="296"/>
      <c r="AD92" s="297"/>
      <c r="AE92" s="92"/>
      <c r="AF92" s="245"/>
    </row>
    <row r="93" spans="1:32">
      <c r="A93" s="96"/>
      <c r="B93" s="127"/>
      <c r="C93" s="127"/>
      <c r="D93" s="127"/>
      <c r="E93" s="127"/>
      <c r="F93" s="127"/>
      <c r="G93" s="127"/>
      <c r="H93" s="127"/>
      <c r="I93" s="127"/>
      <c r="J93" s="127"/>
      <c r="K93" s="96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C93" s="297"/>
      <c r="AD93" s="297"/>
      <c r="AE93" s="92"/>
      <c r="AF93" s="245"/>
    </row>
    <row r="94" spans="1:32">
      <c r="A94" s="96" t="s">
        <v>183</v>
      </c>
      <c r="B94" s="127" t="s">
        <v>188</v>
      </c>
      <c r="C94" s="127" t="s">
        <v>189</v>
      </c>
      <c r="D94" s="127" t="s">
        <v>190</v>
      </c>
      <c r="E94" s="127" t="s">
        <v>191</v>
      </c>
      <c r="F94" s="127" t="s">
        <v>192</v>
      </c>
      <c r="G94" s="127" t="s">
        <v>193</v>
      </c>
      <c r="H94" s="127" t="s">
        <v>194</v>
      </c>
      <c r="I94" s="127" t="s">
        <v>195</v>
      </c>
      <c r="J94" s="127" t="s">
        <v>0</v>
      </c>
      <c r="K94" s="96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C94" s="297"/>
      <c r="AD94" s="295"/>
    </row>
    <row r="95" spans="1:32">
      <c r="A95" s="96" t="s">
        <v>187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C95" s="297"/>
      <c r="AD95" s="295"/>
    </row>
    <row r="96" spans="1:32">
      <c r="A96" s="96">
        <v>0</v>
      </c>
      <c r="B96" s="98">
        <f t="shared" ref="B96:B107" si="25">+B$89*B$92*O66</f>
        <v>0</v>
      </c>
      <c r="C96" s="98">
        <f t="shared" ref="C96:C107" si="26">+C$89*C$92*P66</f>
        <v>0</v>
      </c>
      <c r="D96" s="98">
        <f t="shared" ref="D96:D107" si="27">+D$89*D$92*Q66</f>
        <v>0</v>
      </c>
      <c r="E96" s="98">
        <f t="shared" ref="E96:E107" si="28">+E$89*E$92*R66</f>
        <v>0</v>
      </c>
      <c r="F96" s="98">
        <f t="shared" ref="F96:F107" si="29">+F$89*F$92*S66</f>
        <v>0</v>
      </c>
      <c r="G96" s="98">
        <f t="shared" ref="G96:G107" si="30">+G$89*G$92*T66</f>
        <v>0</v>
      </c>
      <c r="H96" s="98">
        <f t="shared" ref="H96:H107" si="31">+H$89*H$92*U66</f>
        <v>0</v>
      </c>
      <c r="I96" s="98">
        <f t="shared" ref="I96:I107" si="32">+I$89*I$92*V66</f>
        <v>0</v>
      </c>
      <c r="J96" s="98">
        <f>SUM(B96:I96)</f>
        <v>0</v>
      </c>
      <c r="K96" s="96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C96" s="297"/>
      <c r="AD96" s="295"/>
    </row>
    <row r="97" spans="1:30">
      <c r="A97" s="96">
        <v>2</v>
      </c>
      <c r="B97" s="98">
        <f t="shared" si="25"/>
        <v>0</v>
      </c>
      <c r="C97" s="98">
        <f t="shared" si="26"/>
        <v>0</v>
      </c>
      <c r="D97" s="98">
        <f t="shared" si="27"/>
        <v>0</v>
      </c>
      <c r="E97" s="98">
        <f t="shared" si="28"/>
        <v>0</v>
      </c>
      <c r="F97" s="98">
        <f t="shared" si="29"/>
        <v>0</v>
      </c>
      <c r="G97" s="98">
        <f t="shared" si="30"/>
        <v>0</v>
      </c>
      <c r="H97" s="98">
        <f t="shared" si="31"/>
        <v>0</v>
      </c>
      <c r="I97" s="98">
        <f t="shared" si="32"/>
        <v>0</v>
      </c>
      <c r="J97" s="98">
        <f t="shared" ref="J97:J107" si="33">SUM(B97:I97)</f>
        <v>0</v>
      </c>
      <c r="K97" s="96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C97" s="297"/>
      <c r="AD97" s="295"/>
    </row>
    <row r="98" spans="1:30">
      <c r="A98" s="96">
        <v>4</v>
      </c>
      <c r="B98" s="98">
        <f t="shared" si="25"/>
        <v>0</v>
      </c>
      <c r="C98" s="98">
        <f t="shared" si="26"/>
        <v>0</v>
      </c>
      <c r="D98" s="98">
        <f t="shared" si="27"/>
        <v>0</v>
      </c>
      <c r="E98" s="98">
        <f t="shared" si="28"/>
        <v>0</v>
      </c>
      <c r="F98" s="98">
        <f t="shared" si="29"/>
        <v>0</v>
      </c>
      <c r="G98" s="98">
        <f t="shared" si="30"/>
        <v>0</v>
      </c>
      <c r="H98" s="98">
        <f t="shared" si="31"/>
        <v>0</v>
      </c>
      <c r="I98" s="98">
        <f t="shared" si="32"/>
        <v>0</v>
      </c>
      <c r="J98" s="98">
        <f t="shared" si="33"/>
        <v>0</v>
      </c>
      <c r="K98" s="96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C98" s="297"/>
      <c r="AD98" s="295"/>
    </row>
    <row r="99" spans="1:30">
      <c r="A99" s="96">
        <v>6</v>
      </c>
      <c r="B99" s="98">
        <f t="shared" si="25"/>
        <v>0</v>
      </c>
      <c r="C99" s="98">
        <f t="shared" si="26"/>
        <v>160.73164799999998</v>
      </c>
      <c r="D99" s="98">
        <f t="shared" si="27"/>
        <v>0</v>
      </c>
      <c r="E99" s="98">
        <f t="shared" si="28"/>
        <v>0</v>
      </c>
      <c r="F99" s="98">
        <f t="shared" si="29"/>
        <v>0</v>
      </c>
      <c r="G99" s="98">
        <f t="shared" si="30"/>
        <v>0</v>
      </c>
      <c r="H99" s="98">
        <f t="shared" si="31"/>
        <v>0</v>
      </c>
      <c r="I99" s="98">
        <f t="shared" si="32"/>
        <v>60.944083200000009</v>
      </c>
      <c r="J99" s="98">
        <f t="shared" si="33"/>
        <v>221.67573119999997</v>
      </c>
      <c r="K99" s="96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C99" s="297"/>
      <c r="AD99" s="295"/>
    </row>
    <row r="100" spans="1:30">
      <c r="A100" s="96">
        <v>8</v>
      </c>
      <c r="B100" s="98">
        <f t="shared" si="25"/>
        <v>0</v>
      </c>
      <c r="C100" s="98">
        <f t="shared" si="26"/>
        <v>296.68383359999996</v>
      </c>
      <c r="D100" s="98">
        <f t="shared" si="27"/>
        <v>0</v>
      </c>
      <c r="E100" s="98">
        <f t="shared" si="28"/>
        <v>334.85760000000005</v>
      </c>
      <c r="F100" s="98">
        <f t="shared" si="29"/>
        <v>0</v>
      </c>
      <c r="G100" s="98">
        <f t="shared" si="30"/>
        <v>0</v>
      </c>
      <c r="H100" s="98">
        <f t="shared" si="31"/>
        <v>0</v>
      </c>
      <c r="I100" s="98">
        <f t="shared" si="32"/>
        <v>29.690707200000002</v>
      </c>
      <c r="J100" s="98">
        <f t="shared" si="33"/>
        <v>661.23214080000002</v>
      </c>
      <c r="K100" s="96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C100" s="294"/>
      <c r="AD100" s="295"/>
    </row>
    <row r="101" spans="1:30">
      <c r="A101" s="96">
        <v>10</v>
      </c>
      <c r="B101" s="98">
        <f t="shared" si="25"/>
        <v>0</v>
      </c>
      <c r="C101" s="98">
        <f t="shared" si="26"/>
        <v>182.1625344</v>
      </c>
      <c r="D101" s="98">
        <f t="shared" si="27"/>
        <v>0</v>
      </c>
      <c r="E101" s="98">
        <f t="shared" si="28"/>
        <v>1084.10148</v>
      </c>
      <c r="F101" s="98">
        <f t="shared" si="29"/>
        <v>0</v>
      </c>
      <c r="G101" s="98">
        <f t="shared" si="30"/>
        <v>0</v>
      </c>
      <c r="H101" s="98">
        <f t="shared" si="31"/>
        <v>0</v>
      </c>
      <c r="I101" s="98">
        <f t="shared" si="32"/>
        <v>29.690707200000002</v>
      </c>
      <c r="J101" s="98">
        <f t="shared" si="33"/>
        <v>1295.9547215999999</v>
      </c>
      <c r="K101" s="96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C101" s="294"/>
      <c r="AD101" s="295"/>
    </row>
    <row r="102" spans="1:30">
      <c r="A102" s="96">
        <v>12</v>
      </c>
      <c r="B102" s="98">
        <f t="shared" si="25"/>
        <v>0</v>
      </c>
      <c r="C102" s="98">
        <f t="shared" si="26"/>
        <v>25.449177599999999</v>
      </c>
      <c r="D102" s="98">
        <f t="shared" si="27"/>
        <v>0</v>
      </c>
      <c r="E102" s="98">
        <f t="shared" si="28"/>
        <v>1402.2162000000001</v>
      </c>
      <c r="F102" s="98">
        <f t="shared" si="29"/>
        <v>0</v>
      </c>
      <c r="G102" s="98">
        <f t="shared" si="30"/>
        <v>0</v>
      </c>
      <c r="H102" s="98">
        <f t="shared" si="31"/>
        <v>0</v>
      </c>
      <c r="I102" s="98">
        <f t="shared" si="32"/>
        <v>28.128038400000005</v>
      </c>
      <c r="J102" s="98">
        <f t="shared" si="33"/>
        <v>1455.793416</v>
      </c>
      <c r="K102" s="96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C102" s="293"/>
      <c r="AD102" s="293"/>
    </row>
    <row r="103" spans="1:30">
      <c r="A103" s="96">
        <v>14</v>
      </c>
      <c r="B103" s="98">
        <f t="shared" si="25"/>
        <v>0</v>
      </c>
      <c r="C103" s="98">
        <f t="shared" si="26"/>
        <v>25.449177599999999</v>
      </c>
      <c r="D103" s="98">
        <f t="shared" si="27"/>
        <v>0</v>
      </c>
      <c r="E103" s="98">
        <f t="shared" si="28"/>
        <v>1084.10148</v>
      </c>
      <c r="F103" s="98">
        <f t="shared" si="29"/>
        <v>0</v>
      </c>
      <c r="G103" s="98">
        <f t="shared" si="30"/>
        <v>0</v>
      </c>
      <c r="H103" s="98">
        <f t="shared" si="31"/>
        <v>0</v>
      </c>
      <c r="I103" s="98">
        <f t="shared" si="32"/>
        <v>29.690707200000002</v>
      </c>
      <c r="J103" s="98">
        <f t="shared" si="33"/>
        <v>1139.2413647999999</v>
      </c>
      <c r="K103" s="96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C103" s="299"/>
      <c r="AD103" s="293"/>
    </row>
    <row r="104" spans="1:30">
      <c r="A104" s="96">
        <v>16</v>
      </c>
      <c r="B104" s="98">
        <f t="shared" si="25"/>
        <v>0</v>
      </c>
      <c r="C104" s="98">
        <f t="shared" si="26"/>
        <v>21.430886399999999</v>
      </c>
      <c r="D104" s="98">
        <f t="shared" si="27"/>
        <v>0</v>
      </c>
      <c r="E104" s="98">
        <f t="shared" si="28"/>
        <v>334.85760000000005</v>
      </c>
      <c r="F104" s="98">
        <f t="shared" si="29"/>
        <v>0</v>
      </c>
      <c r="G104" s="98">
        <f t="shared" si="30"/>
        <v>0</v>
      </c>
      <c r="H104" s="98">
        <f t="shared" si="31"/>
        <v>0</v>
      </c>
      <c r="I104" s="98">
        <f t="shared" si="32"/>
        <v>29.690707200000002</v>
      </c>
      <c r="J104" s="98">
        <f t="shared" si="33"/>
        <v>385.97919360000009</v>
      </c>
      <c r="K104" s="96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C104" s="298"/>
      <c r="AD104" s="293"/>
    </row>
    <row r="105" spans="1:30">
      <c r="A105" s="96">
        <v>18</v>
      </c>
      <c r="B105" s="98">
        <f t="shared" si="25"/>
        <v>0</v>
      </c>
      <c r="C105" s="98">
        <f t="shared" si="26"/>
        <v>0</v>
      </c>
      <c r="D105" s="98">
        <f t="shared" si="27"/>
        <v>0</v>
      </c>
      <c r="E105" s="98">
        <f t="shared" si="28"/>
        <v>0</v>
      </c>
      <c r="F105" s="98">
        <f t="shared" si="29"/>
        <v>0</v>
      </c>
      <c r="G105" s="98">
        <f t="shared" si="30"/>
        <v>0</v>
      </c>
      <c r="H105" s="98">
        <f t="shared" si="31"/>
        <v>0</v>
      </c>
      <c r="I105" s="98">
        <f t="shared" si="32"/>
        <v>60.944083200000009</v>
      </c>
      <c r="J105" s="98">
        <f t="shared" si="33"/>
        <v>60.944083200000009</v>
      </c>
      <c r="K105" s="96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C105" s="299"/>
      <c r="AD105" s="293"/>
    </row>
    <row r="106" spans="1:30">
      <c r="A106" s="96">
        <v>20</v>
      </c>
      <c r="B106" s="98">
        <f t="shared" si="25"/>
        <v>0</v>
      </c>
      <c r="C106" s="98">
        <f t="shared" si="26"/>
        <v>0</v>
      </c>
      <c r="D106" s="98">
        <f t="shared" si="27"/>
        <v>0</v>
      </c>
      <c r="E106" s="98">
        <f t="shared" si="28"/>
        <v>0</v>
      </c>
      <c r="F106" s="98">
        <f t="shared" si="29"/>
        <v>0</v>
      </c>
      <c r="G106" s="98">
        <f t="shared" si="30"/>
        <v>0</v>
      </c>
      <c r="H106" s="98">
        <f t="shared" si="31"/>
        <v>0</v>
      </c>
      <c r="I106" s="98">
        <f t="shared" si="32"/>
        <v>0</v>
      </c>
      <c r="J106" s="98">
        <f t="shared" si="33"/>
        <v>0</v>
      </c>
      <c r="K106" s="96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</row>
    <row r="107" spans="1:30">
      <c r="A107" s="96">
        <v>22</v>
      </c>
      <c r="B107" s="98">
        <f t="shared" si="25"/>
        <v>0</v>
      </c>
      <c r="C107" s="98">
        <f t="shared" si="26"/>
        <v>0</v>
      </c>
      <c r="D107" s="98">
        <f t="shared" si="27"/>
        <v>0</v>
      </c>
      <c r="E107" s="98">
        <f t="shared" si="28"/>
        <v>0</v>
      </c>
      <c r="F107" s="98">
        <f t="shared" si="29"/>
        <v>0</v>
      </c>
      <c r="G107" s="98">
        <f t="shared" si="30"/>
        <v>0</v>
      </c>
      <c r="H107" s="98">
        <f t="shared" si="31"/>
        <v>0</v>
      </c>
      <c r="I107" s="98">
        <f t="shared" si="32"/>
        <v>0</v>
      </c>
      <c r="J107" s="98">
        <f t="shared" si="33"/>
        <v>0</v>
      </c>
      <c r="K107" s="96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</row>
    <row r="108" spans="1:30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</row>
    <row r="109" spans="1:30">
      <c r="A109" s="96"/>
      <c r="B109" s="96"/>
      <c r="C109" s="96"/>
      <c r="D109" s="96"/>
      <c r="E109" s="96"/>
      <c r="F109" s="96"/>
      <c r="G109" s="96"/>
      <c r="H109" s="96" t="s">
        <v>497</v>
      </c>
      <c r="I109" s="96"/>
      <c r="J109" s="98">
        <f>SUM(J96:J107)</f>
        <v>5220.8206511999997</v>
      </c>
      <c r="K109" s="96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</row>
    <row r="110" spans="1:30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</row>
    <row r="111" spans="1:30">
      <c r="A111" s="96" t="s">
        <v>185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</row>
    <row r="112" spans="1:30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</row>
    <row r="113" spans="1:27" ht="14.25">
      <c r="A113" s="96" t="s">
        <v>198</v>
      </c>
      <c r="B113" s="96"/>
      <c r="C113" s="96"/>
      <c r="D113" s="96">
        <f>+superficies!D22</f>
        <v>261.89999999999998</v>
      </c>
      <c r="E113" s="96" t="s">
        <v>122</v>
      </c>
      <c r="F113" s="96"/>
      <c r="G113" s="96"/>
      <c r="H113" s="96"/>
      <c r="I113" s="96"/>
      <c r="J113" s="96"/>
      <c r="K113" s="96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</row>
    <row r="114" spans="1:27">
      <c r="A114" s="96" t="s">
        <v>210</v>
      </c>
      <c r="B114" s="96"/>
      <c r="C114" s="96"/>
      <c r="D114" s="96">
        <f>+'Balance calefacción'!C19</f>
        <v>0.97742000000000007</v>
      </c>
      <c r="E114" s="96"/>
      <c r="F114" s="96"/>
      <c r="G114" s="96"/>
      <c r="H114" s="96"/>
      <c r="I114" s="96"/>
      <c r="J114" s="96"/>
      <c r="K114" s="96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</row>
    <row r="115" spans="1:27">
      <c r="A115" s="96" t="s">
        <v>217</v>
      </c>
      <c r="B115" s="96"/>
      <c r="C115" s="96"/>
      <c r="D115" s="96">
        <f>+G266</f>
        <v>23</v>
      </c>
      <c r="E115" s="96" t="s">
        <v>98</v>
      </c>
      <c r="F115" s="96"/>
      <c r="G115" s="96"/>
      <c r="H115" s="96"/>
      <c r="I115" s="96"/>
      <c r="J115" s="96"/>
      <c r="K115" s="96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</row>
    <row r="116" spans="1:27">
      <c r="A116" s="96" t="s">
        <v>2</v>
      </c>
      <c r="B116" s="96"/>
      <c r="C116" s="96"/>
      <c r="D116" s="96" t="s">
        <v>2</v>
      </c>
      <c r="E116" s="96"/>
      <c r="F116" s="96"/>
      <c r="G116" s="96"/>
      <c r="H116" s="96"/>
      <c r="I116" s="96"/>
      <c r="J116" s="96"/>
      <c r="K116" s="96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</row>
    <row r="117" spans="1:27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</row>
    <row r="118" spans="1:27">
      <c r="A118" s="96" t="s">
        <v>218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</row>
    <row r="119" spans="1:27" ht="15" customHeight="1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</row>
    <row r="120" spans="1:27">
      <c r="A120" s="96" t="s">
        <v>219</v>
      </c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</row>
    <row r="121" spans="1:27">
      <c r="A121" s="96" t="s">
        <v>187</v>
      </c>
      <c r="B121" s="96" t="s">
        <v>209</v>
      </c>
      <c r="C121" s="96" t="s">
        <v>2</v>
      </c>
      <c r="D121" s="96"/>
      <c r="E121" s="96"/>
      <c r="F121" s="96"/>
      <c r="G121" s="96"/>
      <c r="H121" s="96"/>
      <c r="I121" s="96"/>
      <c r="J121" s="96"/>
      <c r="K121" s="96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</row>
    <row r="122" spans="1:27">
      <c r="A122" s="96">
        <v>0</v>
      </c>
      <c r="B122" s="96">
        <f>+'Balance calefacción'!D20</f>
        <v>0.5</v>
      </c>
      <c r="C122" s="96">
        <f t="shared" ref="C122:C133" si="34">0.35*$D$113*$D$114*(AA12-$G$266)*B122</f>
        <v>44.38546421022</v>
      </c>
      <c r="D122" s="96"/>
      <c r="E122" s="96"/>
      <c r="F122" s="96"/>
      <c r="G122" s="96"/>
      <c r="H122" s="96"/>
      <c r="I122" s="96"/>
      <c r="J122" s="96"/>
      <c r="K122" s="96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</row>
    <row r="123" spans="1:27">
      <c r="A123" s="96">
        <v>2</v>
      </c>
      <c r="B123" s="96">
        <f>+B122</f>
        <v>0.5</v>
      </c>
      <c r="C123" s="96">
        <f t="shared" si="34"/>
        <v>-16.593031836360002</v>
      </c>
      <c r="D123" s="96"/>
      <c r="E123" s="96"/>
      <c r="F123" s="96"/>
      <c r="G123" s="96"/>
      <c r="H123" s="96"/>
      <c r="I123" s="96"/>
      <c r="J123" s="96"/>
      <c r="K123" s="96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</row>
    <row r="124" spans="1:27">
      <c r="A124" s="96">
        <v>4</v>
      </c>
      <c r="B124" s="96">
        <f t="shared" ref="B124:B133" si="35">+B123</f>
        <v>0.5</v>
      </c>
      <c r="C124" s="96">
        <f t="shared" si="34"/>
        <v>-77.571527882940003</v>
      </c>
      <c r="D124" s="96"/>
      <c r="E124" s="96"/>
      <c r="F124" s="96"/>
      <c r="G124" s="96"/>
      <c r="H124" s="96"/>
      <c r="I124" s="96"/>
      <c r="J124" s="96"/>
      <c r="K124" s="96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</row>
    <row r="125" spans="1:27">
      <c r="A125" s="96">
        <v>6</v>
      </c>
      <c r="B125" s="96">
        <f t="shared" si="35"/>
        <v>0.5</v>
      </c>
      <c r="C125" s="96">
        <f t="shared" si="34"/>
        <v>-118.71364569749993</v>
      </c>
      <c r="D125" s="96"/>
      <c r="E125" s="96"/>
      <c r="F125" s="96"/>
      <c r="G125" s="96"/>
      <c r="H125" s="96"/>
      <c r="I125" s="96"/>
      <c r="J125" s="96"/>
      <c r="K125" s="96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</row>
    <row r="126" spans="1:27">
      <c r="A126" s="96">
        <v>8</v>
      </c>
      <c r="B126" s="96">
        <f t="shared" si="35"/>
        <v>0.5</v>
      </c>
      <c r="C126" s="96">
        <f t="shared" si="34"/>
        <v>-37.16409074363996</v>
      </c>
      <c r="D126" s="96"/>
      <c r="E126" s="96"/>
      <c r="F126" s="96"/>
      <c r="G126" s="96"/>
      <c r="H126" s="96"/>
      <c r="I126" s="96"/>
      <c r="J126" s="96"/>
      <c r="K126" s="96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</row>
    <row r="127" spans="1:27">
      <c r="A127" s="96">
        <v>10</v>
      </c>
      <c r="B127" s="96">
        <f t="shared" si="35"/>
        <v>0.5</v>
      </c>
      <c r="C127" s="96">
        <f t="shared" si="34"/>
        <v>309.60518797908003</v>
      </c>
      <c r="D127" s="96"/>
      <c r="E127" s="96"/>
      <c r="F127" s="96"/>
      <c r="G127" s="96"/>
      <c r="H127" s="96"/>
      <c r="I127" s="96"/>
      <c r="J127" s="96"/>
      <c r="K127" s="96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</row>
    <row r="128" spans="1:27">
      <c r="A128" s="96">
        <v>12</v>
      </c>
      <c r="B128" s="96">
        <f t="shared" si="35"/>
        <v>0.5</v>
      </c>
      <c r="C128" s="96">
        <f t="shared" si="34"/>
        <v>513.84641570135989</v>
      </c>
      <c r="D128" s="96"/>
      <c r="E128" s="96"/>
      <c r="F128" s="96"/>
      <c r="G128" s="96"/>
      <c r="H128" s="96"/>
      <c r="I128" s="96"/>
      <c r="J128" s="96"/>
      <c r="K128" s="96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</row>
    <row r="129" spans="1:31">
      <c r="A129" s="96">
        <v>14</v>
      </c>
      <c r="B129" s="96">
        <f t="shared" si="35"/>
        <v>0.5</v>
      </c>
      <c r="C129" s="96">
        <f t="shared" si="34"/>
        <v>615.96702956249999</v>
      </c>
      <c r="D129" s="96"/>
      <c r="E129" s="96"/>
      <c r="F129" s="96"/>
      <c r="G129" s="96"/>
      <c r="H129" s="96"/>
      <c r="I129" s="96"/>
      <c r="J129" s="96"/>
      <c r="K129" s="96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</row>
    <row r="130" spans="1:31">
      <c r="A130" s="96">
        <v>16</v>
      </c>
      <c r="B130" s="96">
        <f t="shared" si="35"/>
        <v>0.5</v>
      </c>
      <c r="C130" s="96">
        <f t="shared" si="34"/>
        <v>554.98853351592015</v>
      </c>
      <c r="D130" s="96"/>
      <c r="E130" s="96"/>
      <c r="F130" s="96"/>
      <c r="G130" s="96"/>
      <c r="H130" s="96"/>
      <c r="I130" s="96"/>
      <c r="J130" s="96"/>
      <c r="K130" s="96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</row>
    <row r="131" spans="1:31">
      <c r="A131" s="96">
        <v>18</v>
      </c>
      <c r="B131" s="96">
        <f t="shared" si="35"/>
        <v>0.5</v>
      </c>
      <c r="C131" s="96">
        <f t="shared" si="34"/>
        <v>391.15474293294</v>
      </c>
      <c r="D131" s="96"/>
      <c r="E131" s="96"/>
      <c r="F131" s="96"/>
      <c r="G131" s="96"/>
      <c r="H131" s="96"/>
      <c r="I131" s="96"/>
      <c r="J131" s="96"/>
      <c r="K131" s="96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</row>
    <row r="132" spans="1:31">
      <c r="A132" s="96">
        <v>20</v>
      </c>
      <c r="B132" s="96">
        <f t="shared" si="35"/>
        <v>0.5</v>
      </c>
      <c r="C132" s="96">
        <f t="shared" si="34"/>
        <v>207.48457411793993</v>
      </c>
      <c r="D132" s="96"/>
      <c r="E132" s="96"/>
      <c r="F132" s="96"/>
      <c r="G132" s="96"/>
      <c r="H132" s="96"/>
      <c r="I132" s="96"/>
      <c r="J132" s="96"/>
      <c r="K132" s="96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</row>
    <row r="133" spans="1:31">
      <c r="A133" s="96">
        <v>22</v>
      </c>
      <c r="B133" s="96">
        <f t="shared" si="35"/>
        <v>0.5</v>
      </c>
      <c r="C133" s="96">
        <f t="shared" si="34"/>
        <v>108.30268295784001</v>
      </c>
      <c r="D133" s="96"/>
      <c r="E133" s="96"/>
      <c r="F133" s="96"/>
      <c r="G133" s="96"/>
      <c r="H133" s="96"/>
      <c r="I133" s="96"/>
      <c r="J133" s="96"/>
      <c r="K133" s="96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</row>
    <row r="134" spans="1:31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</row>
    <row r="135" spans="1:31">
      <c r="A135" s="96"/>
      <c r="B135" s="96" t="s">
        <v>497</v>
      </c>
      <c r="C135" s="96">
        <f>SUM(C122:C133)</f>
        <v>2495.69233481736</v>
      </c>
      <c r="D135" s="96"/>
      <c r="E135" s="96"/>
      <c r="F135" s="96"/>
      <c r="G135" s="96"/>
      <c r="H135" s="96"/>
      <c r="I135" s="96"/>
      <c r="J135" s="96"/>
      <c r="K135" s="96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</row>
    <row r="136" spans="1:31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</row>
    <row r="137" spans="1:31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</row>
    <row r="138" spans="1:31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</row>
    <row r="139" spans="1:31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</row>
    <row r="140" spans="1:31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78"/>
      <c r="M140" s="78"/>
      <c r="N140" s="78"/>
      <c r="O140" s="78"/>
      <c r="S140" s="78"/>
      <c r="T140" s="78"/>
      <c r="U140" s="78"/>
      <c r="V140" s="78"/>
      <c r="W140" s="78"/>
      <c r="X140" s="78"/>
      <c r="Y140" s="78"/>
      <c r="Z140" s="78"/>
      <c r="AA140" s="78"/>
      <c r="AC140" s="653"/>
      <c r="AD140" s="290"/>
      <c r="AE140" s="290"/>
    </row>
    <row r="141" spans="1:31">
      <c r="A141" s="95" t="s">
        <v>199</v>
      </c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78"/>
      <c r="M141" s="78"/>
      <c r="N141" s="78"/>
      <c r="O141" s="78"/>
      <c r="S141" s="78"/>
      <c r="T141" s="78"/>
      <c r="U141" s="78"/>
      <c r="V141" s="78"/>
      <c r="W141" s="78"/>
      <c r="X141" s="78"/>
      <c r="Y141" s="78"/>
      <c r="Z141" s="78"/>
      <c r="AA141" s="78"/>
      <c r="AC141" s="653"/>
      <c r="AD141" s="290"/>
      <c r="AE141" s="290"/>
    </row>
    <row r="142" spans="1:31">
      <c r="A142" s="95" t="s">
        <v>451</v>
      </c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78"/>
      <c r="M142" s="78"/>
      <c r="N142" s="78"/>
      <c r="O142" s="78"/>
      <c r="S142" s="78"/>
      <c r="T142" s="78"/>
      <c r="U142" s="78"/>
      <c r="V142" s="78"/>
      <c r="W142" s="78"/>
      <c r="X142" s="78"/>
      <c r="Y142" s="78"/>
      <c r="Z142" s="78"/>
      <c r="AA142" s="78"/>
      <c r="AC142" s="288"/>
      <c r="AD142" s="289"/>
      <c r="AE142" s="288"/>
    </row>
    <row r="143" spans="1:31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78"/>
      <c r="M143" s="78"/>
      <c r="N143" s="78"/>
      <c r="O143" s="78"/>
      <c r="S143" s="78"/>
      <c r="T143" s="78"/>
      <c r="U143" s="78"/>
      <c r="V143" s="78"/>
      <c r="W143" s="78"/>
      <c r="X143" s="78"/>
      <c r="Y143" s="78"/>
      <c r="Z143" s="78"/>
      <c r="AA143" s="78"/>
      <c r="AC143" s="288"/>
      <c r="AD143" s="289"/>
      <c r="AE143" s="288"/>
    </row>
    <row r="144" spans="1:31">
      <c r="A144" s="96" t="s">
        <v>271</v>
      </c>
      <c r="B144" s="96"/>
      <c r="C144" s="96"/>
      <c r="D144" s="96"/>
      <c r="E144" s="96" t="s">
        <v>2</v>
      </c>
      <c r="F144" s="96"/>
      <c r="G144" s="96"/>
      <c r="H144" s="96"/>
      <c r="I144" s="96"/>
      <c r="J144" s="96"/>
      <c r="K144" s="96"/>
      <c r="L144" s="78"/>
      <c r="M144" s="78"/>
      <c r="N144" s="78"/>
      <c r="O144" s="78"/>
      <c r="S144" s="78"/>
      <c r="T144" s="78"/>
      <c r="U144" s="78"/>
      <c r="V144" s="78"/>
      <c r="W144" s="78"/>
      <c r="X144" s="78"/>
      <c r="Y144" s="78"/>
      <c r="Z144" s="78"/>
      <c r="AA144" s="78"/>
      <c r="AC144" s="288"/>
      <c r="AD144" s="289"/>
      <c r="AE144" s="288"/>
    </row>
    <row r="145" spans="1:31">
      <c r="A145" s="96" t="s">
        <v>392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78"/>
      <c r="M145" s="78"/>
      <c r="N145" s="91"/>
      <c r="O145" s="91"/>
      <c r="S145" s="91"/>
      <c r="T145" s="91"/>
      <c r="U145" s="91"/>
      <c r="V145" s="91"/>
      <c r="W145" s="78"/>
      <c r="X145" s="78"/>
      <c r="Y145" s="78"/>
      <c r="Z145" s="78"/>
      <c r="AA145" s="78"/>
      <c r="AC145" s="288"/>
      <c r="AD145" s="289"/>
      <c r="AE145" s="288"/>
    </row>
    <row r="146" spans="1:31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78"/>
      <c r="M146" s="78"/>
      <c r="N146" s="78"/>
      <c r="O146" s="78"/>
      <c r="S146" s="78"/>
      <c r="T146" s="78"/>
      <c r="U146" s="78"/>
      <c r="V146" s="78"/>
      <c r="W146" s="78"/>
      <c r="X146" s="78"/>
      <c r="Y146" s="78"/>
      <c r="Z146" s="78"/>
      <c r="AA146" s="78"/>
      <c r="AC146" s="288"/>
      <c r="AD146" s="289"/>
      <c r="AE146" s="288"/>
    </row>
    <row r="147" spans="1:31" ht="13.5" thickBot="1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78"/>
      <c r="M147" s="78"/>
      <c r="N147" s="78"/>
      <c r="O147" s="78"/>
      <c r="S147" s="78"/>
      <c r="T147" s="78"/>
      <c r="U147" s="78"/>
      <c r="V147" s="78"/>
      <c r="W147" s="78"/>
      <c r="X147" s="78"/>
      <c r="Y147" s="78"/>
      <c r="Z147" s="78"/>
      <c r="AA147" s="78"/>
      <c r="AC147" s="288"/>
      <c r="AD147" s="289"/>
      <c r="AE147" s="288"/>
    </row>
    <row r="148" spans="1:31" ht="13.5" thickBot="1">
      <c r="A148" s="322" t="s">
        <v>187</v>
      </c>
      <c r="B148" s="328" t="s">
        <v>537</v>
      </c>
      <c r="C148" s="329" t="s">
        <v>538</v>
      </c>
      <c r="D148" s="326" t="s">
        <v>273</v>
      </c>
      <c r="E148" s="323" t="s">
        <v>12</v>
      </c>
      <c r="F148" s="96"/>
      <c r="G148" s="96"/>
      <c r="H148" s="96"/>
      <c r="I148" s="96"/>
      <c r="J148" s="96"/>
      <c r="K148" s="96"/>
      <c r="L148" s="78"/>
      <c r="M148" s="78"/>
      <c r="N148" s="78"/>
      <c r="O148" s="78"/>
      <c r="S148" s="78"/>
      <c r="T148" s="78"/>
      <c r="U148" s="78"/>
      <c r="V148" s="78"/>
      <c r="W148" s="78"/>
      <c r="X148" s="78"/>
      <c r="Y148" s="78"/>
      <c r="Z148" s="78"/>
      <c r="AA148" s="78"/>
      <c r="AC148" s="288"/>
      <c r="AD148" s="289"/>
      <c r="AE148" s="288"/>
    </row>
    <row r="149" spans="1:31">
      <c r="A149" s="265">
        <v>0</v>
      </c>
      <c r="B149" s="369">
        <v>5</v>
      </c>
      <c r="C149" s="370">
        <v>0.7</v>
      </c>
      <c r="D149" s="392">
        <f>58.2*1.8*B149*C149*2</f>
        <v>733.32</v>
      </c>
      <c r="E149" s="323" t="s">
        <v>347</v>
      </c>
      <c r="F149" s="96"/>
      <c r="G149" s="96"/>
      <c r="H149" s="96"/>
      <c r="I149" s="96"/>
      <c r="J149" s="96"/>
      <c r="K149" s="96"/>
      <c r="L149" s="78"/>
      <c r="M149" s="78"/>
      <c r="N149" s="78"/>
      <c r="O149" s="78"/>
      <c r="S149" s="78"/>
      <c r="T149" s="78"/>
      <c r="U149" s="78"/>
      <c r="V149" s="78"/>
      <c r="W149" s="78"/>
      <c r="X149" s="78"/>
      <c r="Y149" s="78"/>
      <c r="Z149" s="78"/>
      <c r="AA149" s="78"/>
      <c r="AC149" s="288"/>
      <c r="AD149" s="289"/>
      <c r="AE149" s="288"/>
    </row>
    <row r="150" spans="1:31">
      <c r="A150" s="265">
        <v>2</v>
      </c>
      <c r="B150" s="369">
        <v>5</v>
      </c>
      <c r="C150" s="370">
        <v>0.7</v>
      </c>
      <c r="D150" s="392">
        <f t="shared" ref="D150:D159" si="36">58.2*1.8*B150*C150*2</f>
        <v>733.32</v>
      </c>
      <c r="E150" s="324" t="s">
        <v>347</v>
      </c>
      <c r="F150" s="96"/>
      <c r="G150" s="96"/>
      <c r="H150" s="96"/>
      <c r="I150" s="96"/>
      <c r="J150" s="96"/>
      <c r="K150" s="96"/>
      <c r="L150" s="78"/>
      <c r="M150" s="78"/>
      <c r="N150" s="78"/>
      <c r="O150" s="78"/>
      <c r="S150" s="78"/>
      <c r="T150" s="78"/>
      <c r="U150" s="78"/>
      <c r="V150" s="78"/>
      <c r="W150" s="78"/>
      <c r="X150" s="78"/>
      <c r="Y150" s="78"/>
      <c r="Z150" s="78"/>
      <c r="AA150" s="78"/>
      <c r="AC150" s="288"/>
      <c r="AD150" s="289"/>
      <c r="AE150" s="288"/>
    </row>
    <row r="151" spans="1:31">
      <c r="A151" s="265">
        <v>4</v>
      </c>
      <c r="B151" s="369">
        <v>5</v>
      </c>
      <c r="C151" s="370">
        <v>0.7</v>
      </c>
      <c r="D151" s="392">
        <f t="shared" si="36"/>
        <v>733.32</v>
      </c>
      <c r="E151" s="324" t="s">
        <v>347</v>
      </c>
      <c r="F151" s="96"/>
      <c r="G151" s="96"/>
      <c r="H151" s="96"/>
      <c r="I151" s="96"/>
      <c r="J151" s="96"/>
      <c r="K151" s="96"/>
      <c r="L151" s="78"/>
      <c r="M151" s="78"/>
      <c r="N151" s="78"/>
      <c r="O151" s="78"/>
      <c r="S151" s="78"/>
      <c r="T151" s="78"/>
      <c r="U151" s="78"/>
      <c r="V151" s="78"/>
      <c r="W151" s="78"/>
      <c r="X151" s="78"/>
      <c r="Y151" s="78"/>
      <c r="Z151" s="78"/>
      <c r="AA151" s="78"/>
      <c r="AC151" s="288"/>
      <c r="AD151" s="289"/>
      <c r="AE151" s="288"/>
    </row>
    <row r="152" spans="1:31">
      <c r="A152" s="265">
        <v>6</v>
      </c>
      <c r="B152" s="369">
        <v>5</v>
      </c>
      <c r="C152" s="370">
        <v>0.7</v>
      </c>
      <c r="D152" s="392">
        <f t="shared" si="36"/>
        <v>733.32</v>
      </c>
      <c r="E152" s="324" t="s">
        <v>347</v>
      </c>
      <c r="F152" s="96"/>
      <c r="G152" s="96"/>
      <c r="H152" s="96"/>
      <c r="I152" s="96"/>
      <c r="J152" s="96"/>
      <c r="K152" s="96"/>
      <c r="L152" s="78"/>
      <c r="M152" s="78"/>
      <c r="N152" s="78"/>
      <c r="O152" s="78"/>
      <c r="S152" s="78"/>
      <c r="T152" s="78"/>
      <c r="U152" s="78"/>
      <c r="V152" s="78"/>
      <c r="W152" s="78"/>
      <c r="X152" s="78"/>
      <c r="Y152" s="78"/>
      <c r="Z152" s="78"/>
      <c r="AA152" s="78"/>
      <c r="AC152" s="288"/>
      <c r="AD152" s="289"/>
      <c r="AE152" s="288"/>
    </row>
    <row r="153" spans="1:31">
      <c r="A153" s="265">
        <v>8</v>
      </c>
      <c r="B153" s="369">
        <v>5</v>
      </c>
      <c r="C153" s="370">
        <v>1</v>
      </c>
      <c r="D153" s="392">
        <f t="shared" si="36"/>
        <v>1047.6000000000001</v>
      </c>
      <c r="E153" s="324"/>
      <c r="F153" s="96"/>
      <c r="G153" s="96"/>
      <c r="H153" s="96"/>
      <c r="I153" s="96"/>
      <c r="J153" s="96"/>
      <c r="K153" s="96"/>
      <c r="L153" s="78"/>
      <c r="M153" s="78"/>
      <c r="N153" s="78"/>
      <c r="O153" s="78"/>
      <c r="S153" s="78"/>
      <c r="T153" s="78"/>
      <c r="U153" s="78"/>
      <c r="V153" s="78"/>
      <c r="W153" s="78"/>
      <c r="X153" s="78"/>
      <c r="Y153" s="78"/>
      <c r="Z153" s="78"/>
      <c r="AA153" s="78"/>
      <c r="AC153" s="288"/>
      <c r="AD153" s="289"/>
      <c r="AE153" s="288"/>
    </row>
    <row r="154" spans="1:31">
      <c r="A154" s="265">
        <v>10</v>
      </c>
      <c r="B154" s="369">
        <v>3</v>
      </c>
      <c r="C154" s="370">
        <v>1</v>
      </c>
      <c r="D154" s="392">
        <f t="shared" si="36"/>
        <v>628.56000000000006</v>
      </c>
      <c r="E154" s="324"/>
      <c r="F154" s="96"/>
      <c r="G154" s="96"/>
      <c r="H154" s="96"/>
      <c r="I154" s="96"/>
      <c r="J154" s="96"/>
      <c r="K154" s="96"/>
      <c r="L154" s="78"/>
      <c r="M154" s="78"/>
      <c r="N154" s="78"/>
      <c r="O154" s="78"/>
      <c r="S154" s="78"/>
      <c r="T154" s="78"/>
      <c r="U154" s="78"/>
      <c r="V154" s="78"/>
      <c r="W154" s="78"/>
      <c r="X154" s="78"/>
      <c r="Y154" s="78"/>
      <c r="Z154" s="78"/>
      <c r="AA154" s="78"/>
      <c r="AC154" s="288"/>
      <c r="AD154" s="289"/>
      <c r="AE154" s="288"/>
    </row>
    <row r="155" spans="1:31">
      <c r="A155" s="265">
        <v>12</v>
      </c>
      <c r="B155" s="369">
        <v>3</v>
      </c>
      <c r="C155" s="370">
        <v>2.1</v>
      </c>
      <c r="D155" s="392">
        <f t="shared" si="36"/>
        <v>1319.9760000000001</v>
      </c>
      <c r="E155" s="324" t="s">
        <v>496</v>
      </c>
      <c r="F155" s="96"/>
      <c r="G155" s="96"/>
      <c r="H155" s="96"/>
      <c r="I155" s="96"/>
      <c r="J155" s="96"/>
      <c r="K155" s="96"/>
      <c r="L155" s="78"/>
      <c r="M155" s="78"/>
      <c r="N155" s="78"/>
      <c r="O155" s="78"/>
      <c r="S155" s="78"/>
      <c r="T155" s="78"/>
      <c r="U155" s="78"/>
      <c r="V155" s="78"/>
      <c r="W155" s="78"/>
      <c r="X155" s="78"/>
      <c r="Y155" s="78"/>
      <c r="Z155" s="78"/>
      <c r="AA155" s="78"/>
      <c r="AC155" s="288"/>
      <c r="AD155" s="289"/>
      <c r="AE155" s="288"/>
    </row>
    <row r="156" spans="1:31">
      <c r="A156" s="265">
        <v>14</v>
      </c>
      <c r="B156" s="369">
        <v>3</v>
      </c>
      <c r="C156" s="370">
        <v>1</v>
      </c>
      <c r="D156" s="392">
        <f t="shared" si="36"/>
        <v>628.56000000000006</v>
      </c>
      <c r="E156" s="324"/>
      <c r="F156" s="96"/>
      <c r="G156" s="96"/>
      <c r="H156" s="96"/>
      <c r="I156" s="96"/>
      <c r="J156" s="96"/>
      <c r="K156" s="96"/>
      <c r="L156" s="78"/>
      <c r="M156" s="78"/>
      <c r="N156" s="78"/>
      <c r="O156" s="78"/>
      <c r="S156" s="78"/>
      <c r="T156" s="78"/>
      <c r="U156" s="78"/>
      <c r="V156" s="78"/>
      <c r="W156" s="78"/>
      <c r="X156" s="78"/>
      <c r="Y156" s="78"/>
      <c r="Z156" s="78"/>
      <c r="AA156" s="78"/>
      <c r="AC156" s="288"/>
      <c r="AD156" s="289"/>
      <c r="AE156" s="288"/>
    </row>
    <row r="157" spans="1:31">
      <c r="A157" s="265">
        <v>16</v>
      </c>
      <c r="B157" s="369">
        <v>3</v>
      </c>
      <c r="C157" s="370">
        <v>1</v>
      </c>
      <c r="D157" s="392">
        <f t="shared" si="36"/>
        <v>628.56000000000006</v>
      </c>
      <c r="E157" s="324"/>
      <c r="F157" s="96"/>
      <c r="G157" s="96"/>
      <c r="H157" s="96"/>
      <c r="I157" s="96"/>
      <c r="J157" s="96"/>
      <c r="K157" s="96"/>
      <c r="L157" s="78"/>
      <c r="M157" s="78"/>
      <c r="N157" s="78"/>
      <c r="O157" s="78"/>
      <c r="S157" s="78"/>
      <c r="T157" s="78"/>
      <c r="U157" s="78"/>
      <c r="V157" s="78"/>
      <c r="W157" s="78"/>
      <c r="X157" s="78"/>
      <c r="Y157" s="78"/>
      <c r="Z157" s="78"/>
      <c r="AA157" s="78"/>
      <c r="AC157" s="288"/>
      <c r="AD157" s="289"/>
      <c r="AE157" s="288"/>
    </row>
    <row r="158" spans="1:31">
      <c r="A158" s="265">
        <v>18</v>
      </c>
      <c r="B158" s="369">
        <v>3</v>
      </c>
      <c r="C158" s="370">
        <v>1</v>
      </c>
      <c r="D158" s="392">
        <f t="shared" si="36"/>
        <v>628.56000000000006</v>
      </c>
      <c r="E158" s="324"/>
      <c r="F158" s="96"/>
      <c r="G158" s="96"/>
      <c r="H158" s="96"/>
      <c r="I158" s="96"/>
      <c r="J158" s="96"/>
      <c r="K158" s="96"/>
      <c r="L158" s="78"/>
      <c r="M158" s="78"/>
      <c r="N158" s="78"/>
      <c r="O158" s="78"/>
      <c r="S158" s="78"/>
      <c r="T158" s="78"/>
      <c r="U158" s="78"/>
      <c r="V158" s="78"/>
      <c r="W158" s="78"/>
      <c r="X158" s="78"/>
      <c r="Y158" s="78"/>
      <c r="Z158" s="78"/>
      <c r="AA158" s="78"/>
      <c r="AC158" s="288"/>
      <c r="AD158" s="289"/>
      <c r="AE158" s="288"/>
    </row>
    <row r="159" spans="1:31">
      <c r="A159" s="265">
        <v>20</v>
      </c>
      <c r="B159" s="369">
        <v>5</v>
      </c>
      <c r="C159" s="370">
        <v>1</v>
      </c>
      <c r="D159" s="392">
        <f t="shared" si="36"/>
        <v>1047.6000000000001</v>
      </c>
      <c r="E159" s="324"/>
      <c r="F159" s="96"/>
      <c r="G159" s="96"/>
      <c r="H159" s="96"/>
      <c r="I159" s="96"/>
      <c r="J159" s="96"/>
      <c r="K159" s="96"/>
      <c r="L159" s="78"/>
      <c r="M159" s="78"/>
      <c r="N159" s="78"/>
      <c r="O159" s="78"/>
      <c r="S159" s="78"/>
      <c r="T159" s="78"/>
      <c r="U159" s="78"/>
      <c r="V159" s="78"/>
      <c r="W159" s="78"/>
      <c r="X159" s="78"/>
      <c r="Y159" s="78"/>
      <c r="Z159" s="78"/>
      <c r="AA159" s="78"/>
      <c r="AC159" s="288"/>
      <c r="AD159" s="289"/>
      <c r="AE159" s="288"/>
    </row>
    <row r="160" spans="1:31" ht="13.5" thickBot="1">
      <c r="A160" s="267">
        <v>22</v>
      </c>
      <c r="B160" s="268">
        <v>5</v>
      </c>
      <c r="C160" s="371">
        <v>0.8</v>
      </c>
      <c r="D160" s="393">
        <f>58.2*1.8*B160*C160*2</f>
        <v>838.08000000000015</v>
      </c>
      <c r="E160" s="325"/>
      <c r="F160" s="96"/>
      <c r="G160" s="96"/>
      <c r="H160" s="96"/>
      <c r="I160" s="96"/>
      <c r="J160" s="96"/>
      <c r="K160" s="96"/>
      <c r="L160" s="78"/>
      <c r="M160" s="78"/>
      <c r="N160" s="78"/>
      <c r="O160" s="78"/>
      <c r="S160" s="78"/>
      <c r="T160" s="78"/>
      <c r="U160" s="78"/>
      <c r="V160" s="78"/>
      <c r="W160" s="78"/>
      <c r="X160" s="78"/>
      <c r="Y160" s="78"/>
      <c r="Z160" s="78"/>
      <c r="AA160" s="78"/>
      <c r="AC160" s="288"/>
      <c r="AD160" s="289"/>
      <c r="AE160" s="288"/>
    </row>
    <row r="161" spans="1:31">
      <c r="A161" s="96"/>
      <c r="B161" s="96"/>
      <c r="C161" s="96"/>
      <c r="D161" s="223"/>
      <c r="E161" s="96"/>
      <c r="F161" s="96"/>
      <c r="G161" s="96"/>
      <c r="H161" s="96"/>
      <c r="I161" s="96"/>
      <c r="J161" s="96"/>
      <c r="K161" s="96"/>
      <c r="L161" s="78"/>
      <c r="M161" s="78"/>
      <c r="N161" s="78"/>
      <c r="O161" s="78"/>
      <c r="S161" s="78"/>
      <c r="T161" s="78"/>
      <c r="U161" s="78"/>
      <c r="V161" s="78"/>
      <c r="W161" s="78"/>
      <c r="X161" s="78"/>
      <c r="Y161" s="78"/>
      <c r="Z161" s="78"/>
      <c r="AA161" s="78"/>
      <c r="AC161" s="288"/>
      <c r="AD161" s="289"/>
      <c r="AE161" s="288"/>
    </row>
    <row r="162" spans="1:31">
      <c r="A162" s="96" t="s">
        <v>449</v>
      </c>
      <c r="B162" s="96"/>
      <c r="C162" s="96"/>
      <c r="D162" s="223">
        <f>SUM(D149:D160)</f>
        <v>9700.7760000000017</v>
      </c>
      <c r="E162" s="96" t="s">
        <v>450</v>
      </c>
      <c r="F162" s="96"/>
      <c r="G162" s="96"/>
      <c r="H162" s="96"/>
      <c r="I162" s="96"/>
      <c r="J162" s="96"/>
      <c r="K162" s="96"/>
      <c r="L162" s="78"/>
      <c r="M162" s="78"/>
      <c r="N162" s="78"/>
      <c r="O162" s="78"/>
      <c r="P162" s="288"/>
      <c r="Q162" s="289"/>
      <c r="R162" s="288"/>
      <c r="S162" s="78"/>
      <c r="T162" s="78"/>
      <c r="U162" s="78"/>
      <c r="V162" s="78"/>
      <c r="W162" s="78"/>
      <c r="X162" s="78"/>
      <c r="Y162" s="78"/>
      <c r="Z162" s="78"/>
      <c r="AA162" s="78"/>
    </row>
    <row r="163" spans="1:31">
      <c r="A163" s="96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78"/>
      <c r="M163" s="78"/>
      <c r="N163" s="78"/>
      <c r="O163" s="78"/>
      <c r="P163" s="288"/>
      <c r="Q163" s="289"/>
      <c r="R163" s="288"/>
      <c r="S163" s="78"/>
      <c r="T163" s="78"/>
      <c r="U163" s="78"/>
      <c r="V163" s="78"/>
      <c r="W163" s="78"/>
      <c r="X163" s="78"/>
      <c r="Y163" s="78"/>
      <c r="Z163" s="78"/>
      <c r="AA163" s="78"/>
    </row>
    <row r="164" spans="1:31">
      <c r="A164" s="96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78"/>
      <c r="M164" s="78"/>
      <c r="N164" s="78"/>
      <c r="O164" s="78"/>
      <c r="P164" s="288"/>
      <c r="Q164" s="289"/>
      <c r="R164" s="288"/>
      <c r="S164" s="78"/>
      <c r="T164" s="78"/>
      <c r="U164" s="78"/>
      <c r="V164" s="78"/>
      <c r="W164" s="78"/>
      <c r="X164" s="78"/>
      <c r="Y164" s="78"/>
      <c r="Z164" s="78"/>
      <c r="AA164" s="78"/>
    </row>
    <row r="165" spans="1:31">
      <c r="A165" s="96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78"/>
      <c r="M165" s="78"/>
      <c r="N165" s="78"/>
      <c r="O165" s="78"/>
      <c r="P165" s="288"/>
      <c r="Q165" s="289"/>
      <c r="R165" s="288"/>
      <c r="S165" s="78"/>
      <c r="T165" s="78"/>
      <c r="U165" s="78"/>
      <c r="V165" s="78"/>
      <c r="W165" s="78"/>
      <c r="X165" s="78"/>
      <c r="Y165" s="78"/>
      <c r="Z165" s="78"/>
      <c r="AA165" s="78"/>
    </row>
    <row r="166" spans="1:31">
      <c r="A166" s="96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78"/>
      <c r="M166" s="78"/>
      <c r="N166" s="78"/>
      <c r="O166" s="78"/>
      <c r="P166" s="288"/>
      <c r="Q166" s="289"/>
      <c r="R166" s="288"/>
      <c r="S166" s="78"/>
      <c r="T166" s="78"/>
      <c r="U166" s="78"/>
      <c r="V166" s="78"/>
      <c r="W166" s="78"/>
      <c r="X166" s="78"/>
      <c r="Y166" s="78"/>
      <c r="Z166" s="78"/>
      <c r="AA166" s="78"/>
    </row>
    <row r="167" spans="1:31">
      <c r="A167" s="95" t="s">
        <v>708</v>
      </c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78"/>
      <c r="M167" s="78"/>
      <c r="N167" s="78"/>
      <c r="O167" s="78"/>
      <c r="P167" s="288"/>
      <c r="Q167" s="289"/>
      <c r="R167" s="288"/>
      <c r="S167" s="78"/>
      <c r="T167" s="78"/>
      <c r="U167" s="78"/>
      <c r="V167" s="78"/>
      <c r="W167" s="78"/>
      <c r="X167" s="78"/>
      <c r="Y167" s="78"/>
      <c r="Z167" s="78"/>
      <c r="AA167" s="78"/>
    </row>
    <row r="168" spans="1:31">
      <c r="A168" s="96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78"/>
      <c r="M168" s="78"/>
      <c r="N168" s="78"/>
      <c r="O168" s="78"/>
      <c r="P168" s="288"/>
      <c r="Q168" s="289"/>
      <c r="R168" s="288"/>
      <c r="S168" s="78"/>
      <c r="T168" s="78"/>
      <c r="U168" s="78"/>
      <c r="V168" s="78"/>
      <c r="W168" s="78"/>
      <c r="X168" s="78"/>
      <c r="Y168" s="78"/>
      <c r="Z168" s="78"/>
      <c r="AA168" s="78"/>
    </row>
    <row r="169" spans="1:31">
      <c r="A169" s="96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78"/>
      <c r="M169" s="78"/>
      <c r="N169" s="78"/>
      <c r="O169" s="78"/>
      <c r="P169" s="288"/>
      <c r="Q169" s="289"/>
      <c r="R169" s="288"/>
      <c r="S169" s="78"/>
      <c r="T169" s="78"/>
      <c r="U169" s="78"/>
      <c r="V169" s="78"/>
      <c r="W169" s="78"/>
      <c r="X169" s="78"/>
      <c r="Y169" s="78"/>
      <c r="Z169" s="78"/>
      <c r="AA169" s="78"/>
    </row>
    <row r="170" spans="1:31">
      <c r="A170" s="96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78"/>
      <c r="M170" s="78"/>
      <c r="N170" s="78"/>
      <c r="O170" s="78"/>
      <c r="P170" s="288"/>
      <c r="Q170" s="289"/>
      <c r="R170" s="288"/>
      <c r="S170" s="78"/>
      <c r="T170" s="78"/>
      <c r="U170" s="78"/>
      <c r="V170" s="78"/>
      <c r="W170" s="78"/>
      <c r="X170" s="78"/>
      <c r="Y170" s="78"/>
      <c r="Z170" s="78"/>
      <c r="AA170" s="78"/>
    </row>
    <row r="171" spans="1:31" ht="13.5" thickBot="1">
      <c r="A171" s="96"/>
      <c r="B171" s="95" t="s">
        <v>539</v>
      </c>
      <c r="C171" s="292" t="s">
        <v>541</v>
      </c>
      <c r="D171" s="95" t="s">
        <v>540</v>
      </c>
      <c r="E171" s="292" t="s">
        <v>542</v>
      </c>
      <c r="F171" s="96"/>
      <c r="G171" s="96"/>
      <c r="H171" s="96"/>
      <c r="I171" s="96"/>
      <c r="J171" s="96"/>
      <c r="K171" s="96"/>
      <c r="L171" s="78"/>
      <c r="M171" s="78"/>
      <c r="N171" s="78"/>
      <c r="O171" s="78"/>
      <c r="P171" s="288"/>
      <c r="Q171" s="289"/>
      <c r="R171" s="288"/>
      <c r="S171" s="78"/>
      <c r="T171" s="78"/>
      <c r="U171" s="78"/>
      <c r="V171" s="78"/>
      <c r="W171" s="78"/>
      <c r="X171" s="78"/>
      <c r="Y171" s="78"/>
      <c r="Z171" s="78"/>
      <c r="AA171" s="78"/>
    </row>
    <row r="172" spans="1:31" ht="13.5" thickBot="1">
      <c r="A172" s="323" t="s">
        <v>187</v>
      </c>
      <c r="B172" s="322" t="s">
        <v>272</v>
      </c>
      <c r="C172" s="372">
        <v>36</v>
      </c>
      <c r="D172" s="322" t="s">
        <v>272</v>
      </c>
      <c r="E172" s="372">
        <v>36</v>
      </c>
      <c r="F172" s="323" t="s">
        <v>275</v>
      </c>
      <c r="G172" s="96"/>
      <c r="H172" s="96" t="s">
        <v>453</v>
      </c>
      <c r="I172" s="96"/>
      <c r="J172" s="96"/>
      <c r="K172" s="96"/>
      <c r="L172" s="78"/>
      <c r="M172" s="78"/>
      <c r="N172" s="78"/>
      <c r="O172" s="78"/>
      <c r="P172" s="288"/>
      <c r="Q172" s="289"/>
      <c r="R172" s="288"/>
      <c r="S172" s="78"/>
      <c r="T172" s="78"/>
      <c r="U172" s="78"/>
      <c r="V172" s="78"/>
      <c r="W172" s="78"/>
      <c r="X172" s="78"/>
      <c r="Y172" s="78"/>
      <c r="Z172" s="78"/>
      <c r="AA172" s="78"/>
    </row>
    <row r="173" spans="1:31" ht="13.5" thickBot="1">
      <c r="A173" s="325"/>
      <c r="B173" s="332" t="s">
        <v>543</v>
      </c>
      <c r="C173" s="326" t="s">
        <v>273</v>
      </c>
      <c r="D173" s="332" t="s">
        <v>543</v>
      </c>
      <c r="E173" s="326" t="s">
        <v>273</v>
      </c>
      <c r="F173" s="325" t="s">
        <v>274</v>
      </c>
      <c r="G173" s="96"/>
      <c r="H173" s="96" t="s">
        <v>454</v>
      </c>
      <c r="I173" s="96"/>
      <c r="J173" s="96"/>
      <c r="K173" s="96"/>
      <c r="L173" s="78"/>
      <c r="M173" s="78"/>
      <c r="N173" s="78"/>
      <c r="O173" s="78"/>
      <c r="P173" s="288"/>
      <c r="Q173" s="289"/>
      <c r="R173" s="288"/>
      <c r="S173" s="78"/>
      <c r="T173" s="78"/>
      <c r="U173" s="78"/>
      <c r="V173" s="78"/>
      <c r="W173" s="78"/>
      <c r="X173" s="78"/>
      <c r="Y173" s="78"/>
      <c r="Z173" s="78"/>
      <c r="AA173" s="78"/>
    </row>
    <row r="174" spans="1:31">
      <c r="A174" s="324">
        <v>0</v>
      </c>
      <c r="B174" s="373">
        <v>0</v>
      </c>
      <c r="C174" s="324">
        <f>+$C$172*B174*2</f>
        <v>0</v>
      </c>
      <c r="D174" s="373">
        <v>1</v>
      </c>
      <c r="E174" s="324">
        <f>+$E$172*D174*2</f>
        <v>72</v>
      </c>
      <c r="F174" s="324">
        <f>SUM(E174+C174)</f>
        <v>72</v>
      </c>
      <c r="G174" s="96"/>
      <c r="H174" s="96"/>
      <c r="I174" s="96"/>
      <c r="J174" s="96"/>
      <c r="K174" s="96"/>
      <c r="L174" s="78"/>
      <c r="M174" s="78"/>
      <c r="N174" s="78"/>
      <c r="O174" s="78"/>
      <c r="P174" s="288"/>
      <c r="Q174" s="289"/>
      <c r="R174" s="288"/>
      <c r="S174" s="78"/>
      <c r="T174" s="78"/>
      <c r="U174" s="78"/>
      <c r="V174" s="78"/>
      <c r="W174" s="78"/>
      <c r="X174" s="78"/>
      <c r="Y174" s="78"/>
      <c r="Z174" s="78"/>
      <c r="AA174" s="78"/>
    </row>
    <row r="175" spans="1:31">
      <c r="A175" s="324">
        <v>2</v>
      </c>
      <c r="B175" s="373">
        <v>0</v>
      </c>
      <c r="C175" s="324">
        <f t="shared" ref="C175:C183" si="37">+$C$172*B175*2</f>
        <v>0</v>
      </c>
      <c r="D175" s="373">
        <v>1</v>
      </c>
      <c r="E175" s="324">
        <f t="shared" ref="E175:E183" si="38">+$E$172*D175*2</f>
        <v>72</v>
      </c>
      <c r="F175" s="324">
        <f t="shared" ref="F175:F184" si="39">SUM(E175+C175)</f>
        <v>72</v>
      </c>
      <c r="G175" s="96"/>
      <c r="H175" s="96" t="s">
        <v>455</v>
      </c>
      <c r="I175" s="96"/>
      <c r="J175" s="96"/>
      <c r="K175" s="96"/>
      <c r="L175" s="78"/>
      <c r="M175" s="78"/>
      <c r="N175" s="78"/>
      <c r="O175" s="78"/>
      <c r="P175" s="288"/>
      <c r="Q175" s="289"/>
      <c r="R175" s="288"/>
      <c r="S175" s="78"/>
      <c r="T175" s="78"/>
      <c r="U175" s="78"/>
      <c r="V175" s="78"/>
      <c r="W175" s="78"/>
      <c r="X175" s="78"/>
      <c r="Y175" s="78"/>
      <c r="Z175" s="78"/>
      <c r="AA175" s="78"/>
    </row>
    <row r="176" spans="1:31">
      <c r="A176" s="324">
        <v>4</v>
      </c>
      <c r="B176" s="373">
        <v>0</v>
      </c>
      <c r="C176" s="324">
        <f t="shared" si="37"/>
        <v>0</v>
      </c>
      <c r="D176" s="373">
        <v>1</v>
      </c>
      <c r="E176" s="324">
        <f t="shared" si="38"/>
        <v>72</v>
      </c>
      <c r="F176" s="324">
        <f t="shared" si="39"/>
        <v>72</v>
      </c>
      <c r="G176" s="96"/>
      <c r="H176" s="96" t="s">
        <v>456</v>
      </c>
      <c r="I176" s="96"/>
      <c r="J176" s="96"/>
      <c r="K176" s="96"/>
      <c r="L176" s="78"/>
      <c r="M176" s="78"/>
      <c r="N176" s="78"/>
      <c r="O176" s="78"/>
      <c r="P176" s="288"/>
      <c r="Q176" s="289"/>
      <c r="R176" s="288"/>
      <c r="S176" s="78"/>
      <c r="T176" s="78"/>
      <c r="U176" s="78"/>
      <c r="V176" s="78"/>
      <c r="W176" s="78"/>
      <c r="X176" s="78"/>
      <c r="Y176" s="78"/>
      <c r="Z176" s="78"/>
      <c r="AA176" s="78"/>
    </row>
    <row r="177" spans="1:29">
      <c r="A177" s="324">
        <v>6</v>
      </c>
      <c r="B177" s="373">
        <v>0</v>
      </c>
      <c r="C177" s="324">
        <f t="shared" si="37"/>
        <v>0</v>
      </c>
      <c r="D177" s="373">
        <v>1</v>
      </c>
      <c r="E177" s="324">
        <f t="shared" si="38"/>
        <v>72</v>
      </c>
      <c r="F177" s="324">
        <f t="shared" si="39"/>
        <v>72</v>
      </c>
      <c r="G177" s="96"/>
      <c r="H177" s="96" t="s">
        <v>457</v>
      </c>
      <c r="I177" s="96"/>
      <c r="J177" s="96"/>
      <c r="K177" s="96"/>
      <c r="L177" s="78"/>
      <c r="M177" s="78"/>
      <c r="N177" s="78"/>
      <c r="O177" s="78"/>
      <c r="P177" s="92"/>
      <c r="Q177" s="92"/>
      <c r="R177" s="92"/>
      <c r="S177" s="78"/>
      <c r="T177" s="78"/>
      <c r="U177" s="78"/>
      <c r="V177" s="78"/>
      <c r="W177" s="78"/>
      <c r="X177" s="78"/>
      <c r="Y177" s="78"/>
      <c r="Z177" s="78"/>
      <c r="AA177" s="78"/>
    </row>
    <row r="178" spans="1:29">
      <c r="A178" s="324">
        <v>8</v>
      </c>
      <c r="B178" s="373">
        <v>3</v>
      </c>
      <c r="C178" s="324">
        <f t="shared" si="37"/>
        <v>216</v>
      </c>
      <c r="D178" s="373">
        <v>0</v>
      </c>
      <c r="E178" s="324">
        <f t="shared" si="38"/>
        <v>0</v>
      </c>
      <c r="F178" s="324">
        <f t="shared" si="39"/>
        <v>216</v>
      </c>
      <c r="G178" s="96"/>
      <c r="H178" s="96"/>
      <c r="I178" s="96"/>
      <c r="J178" s="96"/>
      <c r="K178" s="96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</row>
    <row r="179" spans="1:29">
      <c r="A179" s="324">
        <v>10</v>
      </c>
      <c r="B179" s="373">
        <v>2</v>
      </c>
      <c r="C179" s="324">
        <f t="shared" si="37"/>
        <v>144</v>
      </c>
      <c r="D179" s="373">
        <v>0</v>
      </c>
      <c r="E179" s="324">
        <f t="shared" si="38"/>
        <v>0</v>
      </c>
      <c r="F179" s="324">
        <f t="shared" si="39"/>
        <v>144</v>
      </c>
      <c r="G179" s="96"/>
      <c r="H179" s="96" t="s">
        <v>458</v>
      </c>
      <c r="I179" s="96"/>
      <c r="J179" s="96"/>
      <c r="K179" s="96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</row>
    <row r="180" spans="1:29">
      <c r="A180" s="324">
        <v>12</v>
      </c>
      <c r="B180" s="373">
        <v>0</v>
      </c>
      <c r="C180" s="324">
        <f t="shared" si="37"/>
        <v>0</v>
      </c>
      <c r="D180" s="373">
        <v>0</v>
      </c>
      <c r="E180" s="324">
        <f t="shared" si="38"/>
        <v>0</v>
      </c>
      <c r="F180" s="324">
        <f t="shared" si="39"/>
        <v>0</v>
      </c>
      <c r="G180" s="96"/>
      <c r="H180" s="96" t="s">
        <v>459</v>
      </c>
      <c r="I180" s="96"/>
      <c r="J180" s="96"/>
      <c r="K180" s="96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</row>
    <row r="181" spans="1:29">
      <c r="A181" s="324">
        <v>14</v>
      </c>
      <c r="B181" s="373">
        <v>0</v>
      </c>
      <c r="C181" s="324">
        <f t="shared" si="37"/>
        <v>0</v>
      </c>
      <c r="D181" s="373">
        <v>0</v>
      </c>
      <c r="E181" s="324">
        <f t="shared" si="38"/>
        <v>0</v>
      </c>
      <c r="F181" s="324">
        <f t="shared" si="39"/>
        <v>0</v>
      </c>
      <c r="G181" s="96"/>
      <c r="H181" s="96"/>
      <c r="I181" s="96"/>
      <c r="J181" s="96"/>
      <c r="K181" s="96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</row>
    <row r="182" spans="1:29">
      <c r="A182" s="324">
        <v>16</v>
      </c>
      <c r="B182" s="373">
        <v>0</v>
      </c>
      <c r="C182" s="324">
        <f t="shared" si="37"/>
        <v>0</v>
      </c>
      <c r="D182" s="373">
        <v>0</v>
      </c>
      <c r="E182" s="324">
        <f t="shared" si="38"/>
        <v>0</v>
      </c>
      <c r="F182" s="324">
        <f t="shared" si="39"/>
        <v>0</v>
      </c>
      <c r="G182" s="96"/>
      <c r="H182" s="292" t="s">
        <v>544</v>
      </c>
      <c r="I182" s="96"/>
      <c r="J182" s="96"/>
      <c r="K182" s="96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</row>
    <row r="183" spans="1:29">
      <c r="A183" s="324">
        <v>18</v>
      </c>
      <c r="B183" s="373">
        <v>2</v>
      </c>
      <c r="C183" s="324">
        <f t="shared" si="37"/>
        <v>144</v>
      </c>
      <c r="D183" s="373">
        <v>0</v>
      </c>
      <c r="E183" s="324">
        <f t="shared" si="38"/>
        <v>0</v>
      </c>
      <c r="F183" s="324">
        <f t="shared" si="39"/>
        <v>144</v>
      </c>
      <c r="G183" s="96"/>
      <c r="H183" s="96"/>
      <c r="I183" s="96"/>
      <c r="J183" s="96"/>
      <c r="K183" s="96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</row>
    <row r="184" spans="1:29" ht="13.5" thickBot="1">
      <c r="A184" s="325">
        <v>20</v>
      </c>
      <c r="B184" s="374">
        <v>3</v>
      </c>
      <c r="C184" s="325">
        <f>+$C$172*B184*2</f>
        <v>216</v>
      </c>
      <c r="D184" s="374">
        <v>1</v>
      </c>
      <c r="E184" s="325">
        <f>+$E$172*D184*2</f>
        <v>72</v>
      </c>
      <c r="F184" s="325">
        <f t="shared" si="39"/>
        <v>288</v>
      </c>
      <c r="G184" s="96"/>
      <c r="H184" s="96"/>
      <c r="I184" s="96"/>
      <c r="J184" s="96"/>
      <c r="K184" s="96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</row>
    <row r="185" spans="1:29">
      <c r="A185" s="96" t="s">
        <v>452</v>
      </c>
      <c r="B185" s="96"/>
      <c r="C185" s="96"/>
      <c r="D185" s="96"/>
      <c r="E185" s="96"/>
      <c r="F185" s="96">
        <f>SUM(F174:F184)</f>
        <v>1080</v>
      </c>
      <c r="G185" s="96" t="s">
        <v>450</v>
      </c>
      <c r="H185" s="96"/>
      <c r="I185" s="96"/>
      <c r="J185" s="96"/>
      <c r="K185" s="96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</row>
    <row r="186" spans="1:29">
      <c r="A186" s="96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</row>
    <row r="187" spans="1:29">
      <c r="A187" s="96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</row>
    <row r="188" spans="1:29">
      <c r="A188" s="96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</row>
    <row r="189" spans="1:29">
      <c r="A189" s="96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</row>
    <row r="190" spans="1:29">
      <c r="A190" s="96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</row>
    <row r="191" spans="1:29">
      <c r="A191" s="95" t="s">
        <v>709</v>
      </c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  <c r="W191" s="96"/>
      <c r="X191" s="96"/>
      <c r="Y191" s="96"/>
      <c r="Z191" s="96"/>
      <c r="AA191" s="96"/>
      <c r="AB191" s="96"/>
      <c r="AC191" s="96"/>
    </row>
    <row r="192" spans="1:29">
      <c r="A192" s="95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</row>
    <row r="193" spans="1:29">
      <c r="A193" s="95" t="s">
        <v>461</v>
      </c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  <c r="W193" s="96"/>
      <c r="X193" s="96"/>
      <c r="Y193" s="96"/>
      <c r="Z193" s="96"/>
      <c r="AA193" s="96"/>
      <c r="AB193" s="96"/>
      <c r="AC193" s="96"/>
    </row>
    <row r="194" spans="1:29">
      <c r="A194" s="95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  <c r="W194" s="96"/>
      <c r="X194" s="96"/>
      <c r="Y194" s="96"/>
      <c r="Z194" s="96"/>
      <c r="AA194" s="96"/>
      <c r="AB194" s="96"/>
      <c r="AC194" s="96"/>
    </row>
    <row r="195" spans="1:29">
      <c r="A195" s="95" t="s">
        <v>710</v>
      </c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  <c r="W195" s="96"/>
      <c r="X195" s="96"/>
      <c r="Y195" s="96"/>
      <c r="Z195" s="96"/>
      <c r="AA195" s="96"/>
      <c r="AB195" s="96"/>
      <c r="AC195" s="96"/>
    </row>
    <row r="196" spans="1:29">
      <c r="A196" s="95" t="s">
        <v>711</v>
      </c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</row>
    <row r="197" spans="1:29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  <c r="W197" s="96"/>
      <c r="X197" s="96"/>
      <c r="Y197" s="96"/>
      <c r="Z197" s="96"/>
      <c r="AA197" s="96"/>
      <c r="AB197" s="96"/>
      <c r="AC197" s="96"/>
    </row>
    <row r="198" spans="1:29">
      <c r="A198" s="95" t="s">
        <v>712</v>
      </c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</row>
    <row r="199" spans="1:29" ht="13.5" thickBot="1">
      <c r="A199" s="95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  <c r="W199" s="96"/>
      <c r="X199" s="96"/>
      <c r="Y199" s="96"/>
      <c r="Z199" s="96"/>
      <c r="AA199" s="96"/>
      <c r="AB199" s="96"/>
      <c r="AC199" s="96"/>
    </row>
    <row r="200" spans="1:29" ht="13.5" thickBot="1">
      <c r="A200" s="339"/>
      <c r="B200" s="602" t="s">
        <v>256</v>
      </c>
      <c r="C200" s="603"/>
      <c r="D200" s="604" t="s">
        <v>462</v>
      </c>
      <c r="E200" s="605"/>
      <c r="F200" s="606" t="s">
        <v>717</v>
      </c>
      <c r="G200" s="603"/>
      <c r="H200" s="604" t="s">
        <v>718</v>
      </c>
      <c r="I200" s="264"/>
      <c r="J200" s="327" t="s">
        <v>464</v>
      </c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</row>
    <row r="201" spans="1:29" ht="13.5" thickBot="1">
      <c r="A201" s="324"/>
      <c r="B201" s="330" t="s">
        <v>272</v>
      </c>
      <c r="C201" s="343">
        <v>90</v>
      </c>
      <c r="D201" s="330" t="s">
        <v>272</v>
      </c>
      <c r="E201" s="331">
        <v>1500</v>
      </c>
      <c r="F201" s="337" t="s">
        <v>272</v>
      </c>
      <c r="G201" s="343">
        <v>180</v>
      </c>
      <c r="H201" s="330" t="s">
        <v>272</v>
      </c>
      <c r="I201" s="331">
        <v>22</v>
      </c>
      <c r="J201" s="336" t="s">
        <v>222</v>
      </c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  <c r="W201" s="96"/>
      <c r="X201" s="96"/>
      <c r="Y201" s="96"/>
      <c r="Z201" s="96"/>
      <c r="AA201" s="96"/>
      <c r="AB201" s="96"/>
      <c r="AC201" s="96"/>
    </row>
    <row r="202" spans="1:29" ht="13.5" thickBot="1">
      <c r="A202" s="340" t="s">
        <v>187</v>
      </c>
      <c r="B202" s="335" t="s">
        <v>545</v>
      </c>
      <c r="C202" s="344" t="s">
        <v>273</v>
      </c>
      <c r="D202" s="335" t="s">
        <v>545</v>
      </c>
      <c r="E202" s="335" t="s">
        <v>273</v>
      </c>
      <c r="F202" s="338" t="s">
        <v>545</v>
      </c>
      <c r="G202" s="344" t="s">
        <v>273</v>
      </c>
      <c r="H202" s="335" t="s">
        <v>545</v>
      </c>
      <c r="I202" s="335" t="s">
        <v>273</v>
      </c>
      <c r="J202" s="264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</row>
    <row r="203" spans="1:29">
      <c r="A203" s="339">
        <v>0</v>
      </c>
      <c r="B203" s="375">
        <v>1</v>
      </c>
      <c r="C203" s="345">
        <f>+$C$201*B203*2</f>
        <v>180</v>
      </c>
      <c r="D203" s="333">
        <v>0</v>
      </c>
      <c r="E203" s="349">
        <f>+$E$201*D203*2</f>
        <v>0</v>
      </c>
      <c r="F203" s="347">
        <v>0</v>
      </c>
      <c r="G203" s="230">
        <f>+$G$201*F203*2</f>
        <v>0</v>
      </c>
      <c r="H203" s="599">
        <v>0</v>
      </c>
      <c r="I203" s="349">
        <f>+$I$201*H203*2</f>
        <v>0</v>
      </c>
      <c r="J203" s="349">
        <f>+I203+G203+E203+C203</f>
        <v>180</v>
      </c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  <c r="W203" s="96"/>
      <c r="X203" s="96"/>
      <c r="Y203" s="96"/>
      <c r="Z203" s="96"/>
      <c r="AA203" s="96"/>
      <c r="AB203" s="96"/>
      <c r="AC203" s="96"/>
    </row>
    <row r="204" spans="1:29">
      <c r="A204" s="341">
        <v>2</v>
      </c>
      <c r="B204" s="375">
        <v>1</v>
      </c>
      <c r="C204" s="345">
        <f t="shared" ref="C204:C213" si="40">+$C$201*B204*2</f>
        <v>180</v>
      </c>
      <c r="D204" s="333">
        <v>0</v>
      </c>
      <c r="E204" s="349">
        <f t="shared" ref="E204:E214" si="41">+$E$201*D204*2</f>
        <v>0</v>
      </c>
      <c r="F204" s="347">
        <v>0</v>
      </c>
      <c r="G204" s="230">
        <f t="shared" ref="G204:G213" si="42">+$G$201*F204*2</f>
        <v>0</v>
      </c>
      <c r="H204" s="600">
        <v>0</v>
      </c>
      <c r="I204" s="349">
        <f t="shared" ref="I204:I213" si="43">+$I$201*H204*2</f>
        <v>0</v>
      </c>
      <c r="J204" s="349">
        <f>+I204+G204+E204+C204</f>
        <v>180</v>
      </c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</row>
    <row r="205" spans="1:29">
      <c r="A205" s="341">
        <v>4</v>
      </c>
      <c r="B205" s="375">
        <v>1</v>
      </c>
      <c r="C205" s="345">
        <f t="shared" si="40"/>
        <v>180</v>
      </c>
      <c r="D205" s="333">
        <v>0</v>
      </c>
      <c r="E205" s="349">
        <f t="shared" si="41"/>
        <v>0</v>
      </c>
      <c r="F205" s="347">
        <v>0</v>
      </c>
      <c r="G205" s="230">
        <f t="shared" si="42"/>
        <v>0</v>
      </c>
      <c r="H205" s="600">
        <v>0</v>
      </c>
      <c r="I205" s="349">
        <f t="shared" si="43"/>
        <v>0</v>
      </c>
      <c r="J205" s="349">
        <f t="shared" ref="J205:J214" si="44">+I205+G205+E205+C205</f>
        <v>180</v>
      </c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  <c r="W205" s="96"/>
      <c r="X205" s="96"/>
      <c r="Y205" s="96"/>
      <c r="Z205" s="96"/>
      <c r="AA205" s="96"/>
      <c r="AB205" s="96"/>
      <c r="AC205" s="96"/>
    </row>
    <row r="206" spans="1:29">
      <c r="A206" s="341">
        <v>6</v>
      </c>
      <c r="B206" s="375">
        <v>1</v>
      </c>
      <c r="C206" s="345">
        <f t="shared" si="40"/>
        <v>180</v>
      </c>
      <c r="D206" s="333">
        <v>0</v>
      </c>
      <c r="E206" s="349">
        <f t="shared" si="41"/>
        <v>0</v>
      </c>
      <c r="F206" s="347">
        <v>1</v>
      </c>
      <c r="G206" s="230">
        <f t="shared" si="42"/>
        <v>360</v>
      </c>
      <c r="H206" s="600">
        <v>2</v>
      </c>
      <c r="I206" s="349">
        <f t="shared" si="43"/>
        <v>88</v>
      </c>
      <c r="J206" s="349">
        <f t="shared" si="44"/>
        <v>628</v>
      </c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  <c r="W206" s="96"/>
      <c r="X206" s="96"/>
      <c r="Y206" s="96"/>
      <c r="Z206" s="96"/>
      <c r="AA206" s="96"/>
      <c r="AB206" s="96"/>
      <c r="AC206" s="96"/>
    </row>
    <row r="207" spans="1:29">
      <c r="A207" s="341">
        <v>8</v>
      </c>
      <c r="B207" s="375">
        <v>1</v>
      </c>
      <c r="C207" s="345">
        <f t="shared" si="40"/>
        <v>180</v>
      </c>
      <c r="D207" s="333">
        <v>0.125</v>
      </c>
      <c r="E207" s="349">
        <f t="shared" si="41"/>
        <v>375</v>
      </c>
      <c r="F207" s="347">
        <v>0</v>
      </c>
      <c r="G207" s="230">
        <f t="shared" si="42"/>
        <v>0</v>
      </c>
      <c r="H207" s="600">
        <v>2</v>
      </c>
      <c r="I207" s="349">
        <f t="shared" si="43"/>
        <v>88</v>
      </c>
      <c r="J207" s="349">
        <f t="shared" si="44"/>
        <v>643</v>
      </c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  <c r="W207" s="96"/>
      <c r="X207" s="96"/>
      <c r="Y207" s="96"/>
      <c r="Z207" s="96"/>
      <c r="AA207" s="96"/>
      <c r="AB207" s="96"/>
      <c r="AC207" s="96"/>
    </row>
    <row r="208" spans="1:29">
      <c r="A208" s="341">
        <v>10</v>
      </c>
      <c r="B208" s="375">
        <v>1</v>
      </c>
      <c r="C208" s="345">
        <f t="shared" si="40"/>
        <v>180</v>
      </c>
      <c r="D208" s="333">
        <v>0</v>
      </c>
      <c r="E208" s="349">
        <f t="shared" si="41"/>
        <v>0</v>
      </c>
      <c r="F208" s="347">
        <v>0</v>
      </c>
      <c r="G208" s="230">
        <f t="shared" si="42"/>
        <v>0</v>
      </c>
      <c r="H208" s="600">
        <v>2</v>
      </c>
      <c r="I208" s="349">
        <f t="shared" si="43"/>
        <v>88</v>
      </c>
      <c r="J208" s="349">
        <f t="shared" si="44"/>
        <v>268</v>
      </c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</row>
    <row r="209" spans="1:29">
      <c r="A209" s="341">
        <v>12</v>
      </c>
      <c r="B209" s="375">
        <v>1</v>
      </c>
      <c r="C209" s="345">
        <f t="shared" si="40"/>
        <v>180</v>
      </c>
      <c r="D209" s="333">
        <v>0.5</v>
      </c>
      <c r="E209" s="349">
        <f t="shared" si="41"/>
        <v>1500</v>
      </c>
      <c r="F209" s="347">
        <v>0</v>
      </c>
      <c r="G209" s="230">
        <f t="shared" si="42"/>
        <v>0</v>
      </c>
      <c r="H209" s="600">
        <v>2</v>
      </c>
      <c r="I209" s="349">
        <f t="shared" si="43"/>
        <v>88</v>
      </c>
      <c r="J209" s="349">
        <f t="shared" si="44"/>
        <v>1768</v>
      </c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  <c r="W209" s="96"/>
      <c r="X209" s="96"/>
      <c r="Y209" s="96"/>
      <c r="Z209" s="96"/>
      <c r="AA209" s="96"/>
      <c r="AB209" s="96"/>
      <c r="AC209" s="96"/>
    </row>
    <row r="210" spans="1:29">
      <c r="A210" s="341">
        <v>14</v>
      </c>
      <c r="B210" s="375">
        <v>1</v>
      </c>
      <c r="C210" s="345">
        <f t="shared" si="40"/>
        <v>180</v>
      </c>
      <c r="D210" s="333">
        <v>0</v>
      </c>
      <c r="E210" s="349">
        <f t="shared" si="41"/>
        <v>0</v>
      </c>
      <c r="F210" s="347">
        <v>1</v>
      </c>
      <c r="G210" s="230">
        <f t="shared" si="42"/>
        <v>360</v>
      </c>
      <c r="H210" s="600">
        <v>1</v>
      </c>
      <c r="I210" s="349">
        <f t="shared" si="43"/>
        <v>44</v>
      </c>
      <c r="J210" s="349">
        <f t="shared" si="44"/>
        <v>584</v>
      </c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  <c r="W210" s="96"/>
      <c r="X210" s="96"/>
      <c r="Y210" s="96"/>
      <c r="Z210" s="96"/>
      <c r="AA210" s="96"/>
      <c r="AB210" s="96"/>
      <c r="AC210" s="96"/>
    </row>
    <row r="211" spans="1:29">
      <c r="A211" s="341">
        <v>16</v>
      </c>
      <c r="B211" s="375">
        <v>1</v>
      </c>
      <c r="C211" s="345">
        <f t="shared" si="40"/>
        <v>180</v>
      </c>
      <c r="D211" s="333">
        <v>0</v>
      </c>
      <c r="E211" s="349">
        <f t="shared" si="41"/>
        <v>0</v>
      </c>
      <c r="F211" s="347">
        <v>1</v>
      </c>
      <c r="G211" s="230">
        <f t="shared" si="42"/>
        <v>360</v>
      </c>
      <c r="H211" s="600">
        <v>1</v>
      </c>
      <c r="I211" s="349">
        <f t="shared" si="43"/>
        <v>44</v>
      </c>
      <c r="J211" s="349">
        <f>+I211+G211+E211+C211</f>
        <v>584</v>
      </c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  <c r="W211" s="96"/>
      <c r="X211" s="96"/>
      <c r="Y211" s="96"/>
      <c r="Z211" s="96"/>
      <c r="AA211" s="96"/>
      <c r="AB211" s="96"/>
      <c r="AC211" s="96"/>
    </row>
    <row r="212" spans="1:29">
      <c r="A212" s="341">
        <v>18</v>
      </c>
      <c r="B212" s="375">
        <v>1</v>
      </c>
      <c r="C212" s="345">
        <f t="shared" si="40"/>
        <v>180</v>
      </c>
      <c r="D212" s="333">
        <v>0.125</v>
      </c>
      <c r="E212" s="349">
        <f t="shared" si="41"/>
        <v>375</v>
      </c>
      <c r="F212" s="347">
        <v>1</v>
      </c>
      <c r="G212" s="230">
        <f t="shared" si="42"/>
        <v>360</v>
      </c>
      <c r="H212" s="600">
        <v>1</v>
      </c>
      <c r="I212" s="349">
        <f t="shared" si="43"/>
        <v>44</v>
      </c>
      <c r="J212" s="349">
        <f t="shared" si="44"/>
        <v>959</v>
      </c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</row>
    <row r="213" spans="1:29">
      <c r="A213" s="341">
        <v>20</v>
      </c>
      <c r="B213" s="375">
        <v>1</v>
      </c>
      <c r="C213" s="345">
        <f t="shared" si="40"/>
        <v>180</v>
      </c>
      <c r="D213" s="333">
        <v>0</v>
      </c>
      <c r="E213" s="349">
        <f t="shared" si="41"/>
        <v>0</v>
      </c>
      <c r="F213" s="347">
        <v>1</v>
      </c>
      <c r="G213" s="230">
        <f t="shared" si="42"/>
        <v>360</v>
      </c>
      <c r="H213" s="600">
        <v>1</v>
      </c>
      <c r="I213" s="349">
        <f t="shared" si="43"/>
        <v>44</v>
      </c>
      <c r="J213" s="349">
        <f t="shared" si="44"/>
        <v>584</v>
      </c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  <c r="W213" s="96"/>
      <c r="X213" s="96"/>
      <c r="Y213" s="96"/>
      <c r="Z213" s="96"/>
      <c r="AA213" s="96"/>
      <c r="AB213" s="96"/>
      <c r="AC213" s="96"/>
    </row>
    <row r="214" spans="1:29" ht="13.5" thickBot="1">
      <c r="A214" s="340">
        <v>22</v>
      </c>
      <c r="B214" s="376">
        <v>1</v>
      </c>
      <c r="C214" s="346">
        <f>+$C$201*B214*2</f>
        <v>180</v>
      </c>
      <c r="D214" s="334">
        <v>1</v>
      </c>
      <c r="E214" s="349">
        <f t="shared" si="41"/>
        <v>3000</v>
      </c>
      <c r="F214" s="348">
        <v>1</v>
      </c>
      <c r="G214" s="342">
        <f>+$G$201*F214*2</f>
        <v>360</v>
      </c>
      <c r="H214" s="601">
        <v>0</v>
      </c>
      <c r="I214" s="350">
        <f>+$I$201*H214*2</f>
        <v>0</v>
      </c>
      <c r="J214" s="350">
        <f t="shared" si="44"/>
        <v>3540</v>
      </c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</row>
    <row r="215" spans="1:29">
      <c r="A215" s="96"/>
      <c r="B215" s="96"/>
      <c r="C215" s="96"/>
      <c r="D215" s="96"/>
      <c r="E215" s="96" t="s">
        <v>2</v>
      </c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  <c r="W215" s="96"/>
      <c r="X215" s="96"/>
      <c r="Y215" s="96"/>
      <c r="Z215" s="96"/>
      <c r="AA215" s="96"/>
      <c r="AB215" s="96"/>
      <c r="AC215" s="96"/>
    </row>
    <row r="216" spans="1:29">
      <c r="A216" s="95" t="s">
        <v>463</v>
      </c>
      <c r="B216" s="95"/>
      <c r="C216" s="95"/>
      <c r="D216" s="95"/>
      <c r="E216" s="95"/>
      <c r="F216" s="95"/>
      <c r="G216" s="95"/>
      <c r="H216" s="95"/>
      <c r="I216" s="95"/>
      <c r="J216" s="95">
        <f>SUM(J203:J214)</f>
        <v>10098</v>
      </c>
      <c r="K216" s="95" t="s">
        <v>450</v>
      </c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</row>
    <row r="217" spans="1:29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  <c r="W217" s="96"/>
      <c r="X217" s="96"/>
      <c r="Y217" s="96"/>
      <c r="Z217" s="96"/>
      <c r="AA217" s="96"/>
      <c r="AB217" s="96"/>
      <c r="AC217" s="96"/>
    </row>
    <row r="218" spans="1:29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</row>
    <row r="219" spans="1:29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  <c r="W219" s="96"/>
      <c r="X219" s="96"/>
      <c r="Y219" s="96"/>
      <c r="Z219" s="96"/>
      <c r="AA219" s="96"/>
      <c r="AB219" s="96"/>
      <c r="AC219" s="96"/>
    </row>
    <row r="220" spans="1:29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</row>
    <row r="221" spans="1:29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  <c r="W221" s="96"/>
      <c r="X221" s="96"/>
      <c r="Y221" s="96"/>
      <c r="Z221" s="96"/>
      <c r="AA221" s="96"/>
      <c r="AB221" s="96"/>
      <c r="AC221" s="96"/>
    </row>
    <row r="222" spans="1:29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  <c r="W222" s="96"/>
      <c r="X222" s="96"/>
      <c r="Y222" s="96"/>
      <c r="Z222" s="96"/>
      <c r="AA222" s="96"/>
      <c r="AB222" s="96"/>
      <c r="AC222" s="96"/>
    </row>
    <row r="223" spans="1:29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  <c r="W223" s="96"/>
      <c r="X223" s="96"/>
      <c r="Y223" s="96"/>
      <c r="Z223" s="96"/>
      <c r="AA223" s="96"/>
      <c r="AB223" s="96"/>
      <c r="AC223" s="96"/>
    </row>
    <row r="224" spans="1:29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</row>
    <row r="225" spans="1:29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  <c r="W225" s="96"/>
      <c r="X225" s="96"/>
      <c r="Y225" s="96"/>
      <c r="Z225" s="96"/>
      <c r="AA225" s="96"/>
      <c r="AB225" s="96"/>
      <c r="AC225" s="96"/>
    </row>
    <row r="226" spans="1:29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  <c r="W226" s="96"/>
      <c r="X226" s="96"/>
      <c r="Y226" s="96"/>
      <c r="Z226" s="96"/>
      <c r="AA226" s="96"/>
      <c r="AB226" s="96"/>
      <c r="AC226" s="96"/>
    </row>
    <row r="227" spans="1:29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  <c r="W227" s="96"/>
      <c r="X227" s="96"/>
      <c r="Y227" s="96"/>
      <c r="Z227" s="96"/>
      <c r="AA227" s="96"/>
      <c r="AB227" s="96"/>
      <c r="AC227" s="96"/>
    </row>
    <row r="228" spans="1:29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</row>
    <row r="229" spans="1:29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  <c r="W229" s="96"/>
      <c r="X229" s="96"/>
      <c r="Y229" s="96"/>
      <c r="Z229" s="96"/>
      <c r="AA229" s="96"/>
      <c r="AB229" s="96"/>
      <c r="AC229" s="96"/>
    </row>
    <row r="230" spans="1:29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</row>
    <row r="231" spans="1:29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  <c r="W231" s="96"/>
      <c r="X231" s="96"/>
      <c r="Y231" s="96"/>
      <c r="Z231" s="96"/>
      <c r="AA231" s="96"/>
      <c r="AB231" s="96"/>
      <c r="AC231" s="96"/>
    </row>
    <row r="232" spans="1:29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</row>
    <row r="233" spans="1:29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  <c r="W233" s="96"/>
      <c r="X233" s="96"/>
      <c r="Y233" s="96"/>
      <c r="Z233" s="96"/>
      <c r="AA233" s="96"/>
      <c r="AB233" s="96"/>
      <c r="AC233" s="96"/>
    </row>
    <row r="234" spans="1:29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</row>
    <row r="235" spans="1:29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  <c r="W235" s="96"/>
      <c r="X235" s="96"/>
      <c r="Y235" s="96"/>
      <c r="Z235" s="96"/>
      <c r="AA235" s="96"/>
      <c r="AB235" s="96"/>
      <c r="AC235" s="96"/>
    </row>
    <row r="236" spans="1:29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</row>
    <row r="237" spans="1:29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  <c r="W237" s="96"/>
      <c r="X237" s="96"/>
      <c r="Y237" s="96"/>
      <c r="Z237" s="96"/>
      <c r="AA237" s="96"/>
      <c r="AB237" s="96"/>
      <c r="AC237" s="96"/>
    </row>
    <row r="238" spans="1:29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</row>
    <row r="239" spans="1:29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  <c r="W239" s="96"/>
      <c r="X239" s="96"/>
      <c r="Y239" s="96"/>
      <c r="Z239" s="96"/>
      <c r="AA239" s="96"/>
      <c r="AB239" s="96"/>
      <c r="AC239" s="96"/>
    </row>
    <row r="240" spans="1:29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</row>
    <row r="241" spans="1:32">
      <c r="A241" s="96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  <c r="W241" s="96"/>
      <c r="X241" s="96"/>
      <c r="Y241" s="96"/>
      <c r="Z241" s="96"/>
      <c r="AA241" s="96"/>
      <c r="AB241" s="96"/>
      <c r="AC241" s="96"/>
    </row>
    <row r="242" spans="1:32" ht="22.5" customHeight="1">
      <c r="A242" s="95" t="s">
        <v>211</v>
      </c>
      <c r="B242" s="96"/>
      <c r="C242" s="96"/>
      <c r="D242" s="96"/>
      <c r="E242" s="96"/>
      <c r="F242" s="96" t="s">
        <v>222</v>
      </c>
      <c r="G242" s="96"/>
      <c r="H242" s="96"/>
      <c r="I242" s="96"/>
      <c r="J242" s="96"/>
      <c r="K242" s="96"/>
      <c r="L242" s="96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353"/>
      <c r="AB242" s="178"/>
      <c r="AC242" s="178"/>
      <c r="AD242" s="178"/>
      <c r="AE242" s="178"/>
      <c r="AF242" s="178"/>
    </row>
    <row r="243" spans="1:32">
      <c r="A243" s="103"/>
      <c r="B243" s="100"/>
      <c r="C243" s="100"/>
      <c r="D243" s="100"/>
      <c r="E243" s="107" t="s">
        <v>278</v>
      </c>
      <c r="F243" s="108"/>
      <c r="G243" s="108"/>
      <c r="H243" s="99"/>
      <c r="I243" s="96"/>
      <c r="J243" s="109" t="s">
        <v>279</v>
      </c>
      <c r="K243" s="108"/>
      <c r="L243" s="99"/>
      <c r="M243" s="78"/>
      <c r="N243" s="78"/>
      <c r="O243" s="78"/>
      <c r="P243" s="78"/>
      <c r="Q243" s="78"/>
      <c r="S243" s="78"/>
      <c r="T243" s="78"/>
      <c r="U243" s="78"/>
      <c r="V243" s="78"/>
      <c r="W243" s="78"/>
      <c r="X243" s="78"/>
      <c r="Y243" s="78"/>
      <c r="Z243" s="78"/>
      <c r="AA243" s="353"/>
      <c r="AB243" s="382"/>
      <c r="AC243" s="356"/>
      <c r="AD243" s="355" t="s">
        <v>554</v>
      </c>
      <c r="AE243" s="356"/>
      <c r="AF243" s="357"/>
    </row>
    <row r="244" spans="1:32">
      <c r="A244" s="106"/>
      <c r="B244" s="110"/>
      <c r="C244" s="106"/>
      <c r="D244" s="106"/>
      <c r="E244" s="106"/>
      <c r="F244" s="111" t="s">
        <v>22</v>
      </c>
      <c r="G244" s="111" t="s">
        <v>22</v>
      </c>
      <c r="H244" s="102"/>
      <c r="I244" s="96"/>
      <c r="J244" s="110"/>
      <c r="K244" s="104"/>
      <c r="L244" s="102"/>
      <c r="M244" s="78"/>
      <c r="N244" s="78"/>
      <c r="O244" s="78"/>
      <c r="P244" s="78"/>
      <c r="Q244" s="78"/>
      <c r="S244" s="78"/>
      <c r="T244" s="78"/>
      <c r="U244" s="78"/>
      <c r="V244" s="78"/>
      <c r="W244" s="78"/>
      <c r="X244" s="78"/>
      <c r="Y244" s="78"/>
      <c r="Z244" s="78"/>
      <c r="AA244" s="353"/>
      <c r="AB244" s="383" t="s">
        <v>585</v>
      </c>
      <c r="AC244" s="377" t="s">
        <v>586</v>
      </c>
      <c r="AD244" s="377" t="s">
        <v>553</v>
      </c>
      <c r="AE244" s="378" t="s">
        <v>549</v>
      </c>
      <c r="AF244" s="377" t="s">
        <v>551</v>
      </c>
    </row>
    <row r="245" spans="1:32">
      <c r="A245" s="101" t="s">
        <v>187</v>
      </c>
      <c r="B245" s="112" t="s">
        <v>393</v>
      </c>
      <c r="C245" s="101" t="s">
        <v>394</v>
      </c>
      <c r="D245" s="231" t="s">
        <v>395</v>
      </c>
      <c r="E245" s="231" t="s">
        <v>396</v>
      </c>
      <c r="F245" s="111" t="s">
        <v>277</v>
      </c>
      <c r="G245" s="111" t="s">
        <v>276</v>
      </c>
      <c r="H245" s="113" t="s">
        <v>215</v>
      </c>
      <c r="I245" s="95" t="s">
        <v>220</v>
      </c>
      <c r="J245" s="112" t="s">
        <v>212</v>
      </c>
      <c r="K245" s="111" t="s">
        <v>213</v>
      </c>
      <c r="L245" s="113" t="s">
        <v>214</v>
      </c>
      <c r="M245" s="78"/>
      <c r="S245" s="78"/>
      <c r="T245" s="78"/>
      <c r="U245" s="78"/>
      <c r="V245" s="78"/>
      <c r="W245" s="78"/>
      <c r="X245" s="78"/>
      <c r="Y245" s="78"/>
      <c r="Z245" s="78"/>
      <c r="AA245" s="353"/>
      <c r="AB245" s="384" t="s">
        <v>548</v>
      </c>
      <c r="AC245" s="379" t="s">
        <v>587</v>
      </c>
      <c r="AD245" s="380" t="s">
        <v>588</v>
      </c>
      <c r="AE245" s="381" t="s">
        <v>550</v>
      </c>
      <c r="AF245" s="379" t="s">
        <v>552</v>
      </c>
    </row>
    <row r="246" spans="1:32">
      <c r="A246" s="100"/>
      <c r="B246" s="232"/>
      <c r="C246" s="228"/>
      <c r="D246" s="228" t="s">
        <v>2</v>
      </c>
      <c r="E246" s="228" t="s">
        <v>2</v>
      </c>
      <c r="F246" s="233"/>
      <c r="G246" s="233"/>
      <c r="H246" s="227"/>
      <c r="I246" s="233"/>
      <c r="J246" s="232"/>
      <c r="K246" s="233"/>
      <c r="L246" s="227"/>
      <c r="M246" s="78"/>
      <c r="S246" s="78"/>
      <c r="T246" s="78"/>
      <c r="U246" s="78"/>
      <c r="V246" s="78"/>
      <c r="W246" s="78"/>
      <c r="X246" s="78"/>
      <c r="Y246" s="78"/>
      <c r="Z246" s="78"/>
      <c r="AA246" s="353"/>
      <c r="AB246" s="385"/>
      <c r="AC246" s="360"/>
      <c r="AD246" s="178"/>
      <c r="AE246" s="360"/>
      <c r="AF246" s="360"/>
    </row>
    <row r="247" spans="1:32">
      <c r="A247" s="112">
        <v>0</v>
      </c>
      <c r="B247" s="234">
        <f t="shared" ref="B247:B258" si="45">+J18</f>
        <v>424.58</v>
      </c>
      <c r="C247" s="235">
        <f t="shared" ref="C247:C258" si="46">+J42</f>
        <v>39</v>
      </c>
      <c r="D247" s="235">
        <f t="shared" ref="D247:D258" si="47">+K18</f>
        <v>130.94999999999999</v>
      </c>
      <c r="E247" s="235">
        <f t="shared" ref="E247:E258" si="48">+K42</f>
        <v>0</v>
      </c>
      <c r="F247" s="236">
        <f t="shared" ref="F247:F258" si="49">+J69</f>
        <v>103.27306560000001</v>
      </c>
      <c r="G247" s="236">
        <f t="shared" ref="G247:G258" si="50">+J96</f>
        <v>0</v>
      </c>
      <c r="H247" s="237">
        <f t="shared" ref="H247:H258" si="51">+C122</f>
        <v>44.38546421022</v>
      </c>
      <c r="I247" s="223">
        <f>0.35*$D$113*$D$114*(AA12-$J$266)*'Enf. convectivo nocturno'!G8</f>
        <v>0</v>
      </c>
      <c r="J247" s="234">
        <f t="shared" ref="J247:J258" si="52">+D149</f>
        <v>733.32</v>
      </c>
      <c r="K247" s="230">
        <f t="shared" ref="K247:K258" si="53">+F174</f>
        <v>72</v>
      </c>
      <c r="L247" s="226">
        <f t="shared" ref="L247:L258" si="54">+J203</f>
        <v>180</v>
      </c>
      <c r="M247" s="78"/>
      <c r="S247" s="78"/>
      <c r="T247" s="78"/>
      <c r="U247" s="78"/>
      <c r="V247" s="78"/>
      <c r="W247" s="78"/>
      <c r="X247" s="78"/>
      <c r="Y247" s="78"/>
      <c r="Z247" s="78"/>
      <c r="AA247" s="353"/>
      <c r="AB247" s="386">
        <f>SUM(B247:H247)</f>
        <v>742.18852981021996</v>
      </c>
      <c r="AC247" s="358">
        <f>+SUM(J247:L247)</f>
        <v>985.32</v>
      </c>
      <c r="AD247" s="361">
        <f>+AC247+AB247</f>
        <v>1727.5085298102199</v>
      </c>
      <c r="AE247" s="358">
        <f t="shared" ref="AE247:AE258" si="55">+I247</f>
        <v>0</v>
      </c>
      <c r="AF247" s="358">
        <f t="shared" ref="AF247:AF258" si="56">SUM(B247:L247)</f>
        <v>1727.5085298102199</v>
      </c>
    </row>
    <row r="248" spans="1:32">
      <c r="A248" s="112">
        <v>2</v>
      </c>
      <c r="B248" s="234">
        <f t="shared" si="45"/>
        <v>332.61799999999999</v>
      </c>
      <c r="C248" s="235">
        <f t="shared" si="46"/>
        <v>29.25</v>
      </c>
      <c r="D248" s="235">
        <f t="shared" si="47"/>
        <v>130.94999999999999</v>
      </c>
      <c r="E248" s="235">
        <f t="shared" si="48"/>
        <v>0</v>
      </c>
      <c r="F248" s="236">
        <f t="shared" si="49"/>
        <v>-38.607532800000001</v>
      </c>
      <c r="G248" s="236">
        <f t="shared" si="50"/>
        <v>0</v>
      </c>
      <c r="H248" s="237">
        <f t="shared" si="51"/>
        <v>-16.593031836360002</v>
      </c>
      <c r="I248" s="223">
        <f>0.35*$D$113*$D$114*(AA13-$J$266)*'Enf. convectivo nocturno'!G9</f>
        <v>-7857.9294740906389</v>
      </c>
      <c r="J248" s="234">
        <f t="shared" si="52"/>
        <v>733.32</v>
      </c>
      <c r="K248" s="230">
        <f t="shared" si="53"/>
        <v>72</v>
      </c>
      <c r="L248" s="226">
        <f t="shared" si="54"/>
        <v>180</v>
      </c>
      <c r="M248" s="78"/>
      <c r="S248" s="78"/>
      <c r="T248" s="78"/>
      <c r="U248" s="78"/>
      <c r="V248" s="78"/>
      <c r="W248" s="78"/>
      <c r="X248" s="78"/>
      <c r="Y248" s="78"/>
      <c r="Z248" s="78"/>
      <c r="AA248" s="353"/>
      <c r="AB248" s="386">
        <f t="shared" ref="AB248:AB257" si="57">SUM(B248:H248)</f>
        <v>437.61743536363997</v>
      </c>
      <c r="AC248" s="358">
        <f t="shared" ref="AC248:AC257" si="58">+SUM(J248:L248)</f>
        <v>985.32</v>
      </c>
      <c r="AD248" s="361">
        <f t="shared" ref="AD248:AD257" si="59">+AC248+AB248</f>
        <v>1422.9374353636399</v>
      </c>
      <c r="AE248" s="358">
        <f t="shared" si="55"/>
        <v>-7857.9294740906389</v>
      </c>
      <c r="AF248" s="358">
        <f t="shared" si="56"/>
        <v>-6434.9920387269995</v>
      </c>
    </row>
    <row r="249" spans="1:32">
      <c r="A249" s="112">
        <v>4</v>
      </c>
      <c r="B249" s="234">
        <f t="shared" si="45"/>
        <v>246.72050000000002</v>
      </c>
      <c r="C249" s="235">
        <f t="shared" si="46"/>
        <v>29.25</v>
      </c>
      <c r="D249" s="235">
        <f t="shared" si="47"/>
        <v>130.94999999999999</v>
      </c>
      <c r="E249" s="235">
        <f t="shared" si="48"/>
        <v>0</v>
      </c>
      <c r="F249" s="236">
        <f t="shared" si="49"/>
        <v>-180.4881312</v>
      </c>
      <c r="G249" s="236">
        <f t="shared" si="50"/>
        <v>0</v>
      </c>
      <c r="H249" s="237">
        <f t="shared" si="51"/>
        <v>-77.571527882940003</v>
      </c>
      <c r="I249" s="223">
        <f>0.35*$D$113*$D$114*(AA14-$J$266)*'Enf. convectivo nocturno'!G10</f>
        <v>-12370.33818153756</v>
      </c>
      <c r="J249" s="234">
        <f t="shared" si="52"/>
        <v>733.32</v>
      </c>
      <c r="K249" s="230">
        <f t="shared" si="53"/>
        <v>72</v>
      </c>
      <c r="L249" s="226">
        <f t="shared" si="54"/>
        <v>180</v>
      </c>
      <c r="M249" s="78"/>
      <c r="S249" s="78"/>
      <c r="T249" s="78"/>
      <c r="U249" s="78"/>
      <c r="V249" s="78"/>
      <c r="W249" s="78"/>
      <c r="X249" s="78"/>
      <c r="Y249" s="78"/>
      <c r="Z249" s="78"/>
      <c r="AA249" s="353"/>
      <c r="AB249" s="386">
        <f t="shared" si="57"/>
        <v>148.86084091705999</v>
      </c>
      <c r="AC249" s="358">
        <f t="shared" si="58"/>
        <v>985.32</v>
      </c>
      <c r="AD249" s="361">
        <f t="shared" si="59"/>
        <v>1134.1808409170601</v>
      </c>
      <c r="AE249" s="358">
        <f t="shared" si="55"/>
        <v>-12370.33818153756</v>
      </c>
      <c r="AF249" s="358">
        <f t="shared" si="56"/>
        <v>-11236.157340620501</v>
      </c>
    </row>
    <row r="250" spans="1:32">
      <c r="A250" s="112">
        <v>6</v>
      </c>
      <c r="B250" s="234">
        <f t="shared" si="45"/>
        <v>210.78199999999998</v>
      </c>
      <c r="C250" s="235">
        <f t="shared" si="46"/>
        <v>48.75</v>
      </c>
      <c r="D250" s="235">
        <f t="shared" si="47"/>
        <v>436.49999999999994</v>
      </c>
      <c r="E250" s="235">
        <f t="shared" si="48"/>
        <v>0</v>
      </c>
      <c r="F250" s="236">
        <f t="shared" si="49"/>
        <v>-276.2147999999998</v>
      </c>
      <c r="G250" s="236">
        <f t="shared" si="50"/>
        <v>221.67573119999997</v>
      </c>
      <c r="H250" s="237">
        <f t="shared" si="51"/>
        <v>-118.71364569749993</v>
      </c>
      <c r="I250" s="223">
        <f>0.35*$D$113*$D$114*(AA15-$J$266)*'Enf. convectivo nocturno'!G11</f>
        <v>-15414.854899814994</v>
      </c>
      <c r="J250" s="234">
        <f t="shared" si="52"/>
        <v>733.32</v>
      </c>
      <c r="K250" s="230">
        <f t="shared" si="53"/>
        <v>72</v>
      </c>
      <c r="L250" s="226">
        <f t="shared" si="54"/>
        <v>628</v>
      </c>
      <c r="M250" s="78"/>
      <c r="S250" s="78"/>
      <c r="T250" s="78"/>
      <c r="U250" s="78"/>
      <c r="V250" s="78"/>
      <c r="W250" s="78"/>
      <c r="X250" s="78"/>
      <c r="Y250" s="78"/>
      <c r="Z250" s="78"/>
      <c r="AA250" s="353"/>
      <c r="AB250" s="386">
        <f t="shared" si="57"/>
        <v>522.77928550250022</v>
      </c>
      <c r="AC250" s="358">
        <f t="shared" si="58"/>
        <v>1433.3200000000002</v>
      </c>
      <c r="AD250" s="361">
        <f t="shared" si="59"/>
        <v>1956.0992855025004</v>
      </c>
      <c r="AE250" s="358">
        <f t="shared" si="55"/>
        <v>-15414.854899814994</v>
      </c>
      <c r="AF250" s="358">
        <f t="shared" si="56"/>
        <v>-13458.755614312495</v>
      </c>
    </row>
    <row r="251" spans="1:32">
      <c r="A251" s="112">
        <v>8</v>
      </c>
      <c r="B251" s="234">
        <f t="shared" si="45"/>
        <v>199.4915</v>
      </c>
      <c r="C251" s="235">
        <f t="shared" si="46"/>
        <v>58.5</v>
      </c>
      <c r="D251" s="235">
        <f t="shared" si="47"/>
        <v>436.49999999999994</v>
      </c>
      <c r="E251" s="235">
        <f t="shared" si="48"/>
        <v>0</v>
      </c>
      <c r="F251" s="236">
        <f t="shared" si="49"/>
        <v>-86.470867199999915</v>
      </c>
      <c r="G251" s="236">
        <f t="shared" si="50"/>
        <v>661.23214080000002</v>
      </c>
      <c r="H251" s="237">
        <f t="shared" si="51"/>
        <v>-37.16409074363996</v>
      </c>
      <c r="I251" s="223">
        <f>0.35*$D$113*$D$114*(AA16-$J$266)*'Enf. convectivo nocturno'!G12</f>
        <v>-9380.1878332293563</v>
      </c>
      <c r="J251" s="234">
        <f t="shared" si="52"/>
        <v>1047.6000000000001</v>
      </c>
      <c r="K251" s="230">
        <f t="shared" si="53"/>
        <v>216</v>
      </c>
      <c r="L251" s="226">
        <f t="shared" si="54"/>
        <v>643</v>
      </c>
      <c r="M251" s="78"/>
      <c r="S251" s="78"/>
      <c r="T251" s="78"/>
      <c r="U251" s="78"/>
      <c r="V251" s="78"/>
      <c r="W251" s="78"/>
      <c r="X251" s="78"/>
      <c r="Y251" s="78"/>
      <c r="Z251" s="78"/>
      <c r="AA251" s="353"/>
      <c r="AB251" s="386">
        <f t="shared" si="57"/>
        <v>1232.08868285636</v>
      </c>
      <c r="AC251" s="358">
        <f t="shared" si="58"/>
        <v>1906.6000000000001</v>
      </c>
      <c r="AD251" s="361">
        <f t="shared" si="59"/>
        <v>3138.6886828563602</v>
      </c>
      <c r="AE251" s="358">
        <f t="shared" si="55"/>
        <v>-9380.1878332293563</v>
      </c>
      <c r="AF251" s="358">
        <f t="shared" si="56"/>
        <v>-6241.4991503729962</v>
      </c>
    </row>
    <row r="252" spans="1:32">
      <c r="A252" s="112">
        <v>10</v>
      </c>
      <c r="B252" s="234">
        <f t="shared" si="45"/>
        <v>261.5795</v>
      </c>
      <c r="C252" s="235">
        <f t="shared" si="46"/>
        <v>97.5</v>
      </c>
      <c r="D252" s="235">
        <f t="shared" si="47"/>
        <v>436.49999999999994</v>
      </c>
      <c r="E252" s="235">
        <f t="shared" si="48"/>
        <v>0</v>
      </c>
      <c r="F252" s="236">
        <f t="shared" si="49"/>
        <v>720.36819839999998</v>
      </c>
      <c r="G252" s="236">
        <f t="shared" si="50"/>
        <v>1295.9547215999999</v>
      </c>
      <c r="H252" s="237">
        <f t="shared" si="51"/>
        <v>309.60518797908003</v>
      </c>
      <c r="I252" s="223">
        <f>0.35*$D$113*$D$114*(AA17-$J$266)*'Enf. convectivo nocturno'!G13</f>
        <v>0</v>
      </c>
      <c r="J252" s="234">
        <f t="shared" si="52"/>
        <v>628.56000000000006</v>
      </c>
      <c r="K252" s="230">
        <f t="shared" si="53"/>
        <v>144</v>
      </c>
      <c r="L252" s="226">
        <f t="shared" si="54"/>
        <v>268</v>
      </c>
      <c r="M252" s="78"/>
      <c r="S252" s="78"/>
      <c r="T252" s="78"/>
      <c r="U252" s="78"/>
      <c r="V252" s="78"/>
      <c r="W252" s="78"/>
      <c r="X252" s="78"/>
      <c r="Y252" s="78"/>
      <c r="Z252" s="78"/>
      <c r="AA252" s="353"/>
      <c r="AB252" s="386">
        <f t="shared" si="57"/>
        <v>3121.5076079790797</v>
      </c>
      <c r="AC252" s="358">
        <f t="shared" si="58"/>
        <v>1040.56</v>
      </c>
      <c r="AD252" s="361">
        <f t="shared" si="59"/>
        <v>4162.0676079790792</v>
      </c>
      <c r="AE252" s="358">
        <f t="shared" si="55"/>
        <v>0</v>
      </c>
      <c r="AF252" s="358">
        <f t="shared" si="56"/>
        <v>4162.0676079790792</v>
      </c>
    </row>
    <row r="253" spans="1:32">
      <c r="A253" s="112">
        <v>12</v>
      </c>
      <c r="B253" s="234">
        <f t="shared" si="45"/>
        <v>297.9665</v>
      </c>
      <c r="C253" s="235">
        <f t="shared" si="46"/>
        <v>156</v>
      </c>
      <c r="D253" s="235">
        <f t="shared" si="47"/>
        <v>480.14999999999992</v>
      </c>
      <c r="E253" s="235">
        <f t="shared" si="48"/>
        <v>0</v>
      </c>
      <c r="F253" s="236">
        <f t="shared" si="49"/>
        <v>1195.5827327999998</v>
      </c>
      <c r="G253" s="236">
        <f t="shared" si="50"/>
        <v>1455.793416</v>
      </c>
      <c r="H253" s="237">
        <f t="shared" si="51"/>
        <v>513.84641570135989</v>
      </c>
      <c r="I253" s="223">
        <f>0.35*$D$113*$D$114*(AA18-$J$266)*'Enf. convectivo nocturno'!G14</f>
        <v>0</v>
      </c>
      <c r="J253" s="234">
        <f t="shared" si="52"/>
        <v>1319.9760000000001</v>
      </c>
      <c r="K253" s="230">
        <f t="shared" si="53"/>
        <v>0</v>
      </c>
      <c r="L253" s="226">
        <f t="shared" si="54"/>
        <v>1768</v>
      </c>
      <c r="M253" s="78"/>
      <c r="S253" s="78"/>
      <c r="T253" s="78"/>
      <c r="U253" s="78"/>
      <c r="V253" s="78"/>
      <c r="W253" s="78"/>
      <c r="X253" s="78"/>
      <c r="Y253" s="78"/>
      <c r="Z253" s="78"/>
      <c r="AA253" s="353"/>
      <c r="AB253" s="386">
        <f t="shared" si="57"/>
        <v>4099.3390645013596</v>
      </c>
      <c r="AC253" s="358">
        <f t="shared" si="58"/>
        <v>3087.9760000000001</v>
      </c>
      <c r="AD253" s="361">
        <f t="shared" si="59"/>
        <v>7187.3150645013593</v>
      </c>
      <c r="AE253" s="358">
        <f t="shared" si="55"/>
        <v>0</v>
      </c>
      <c r="AF253" s="358">
        <f t="shared" si="56"/>
        <v>7187.3150645013593</v>
      </c>
    </row>
    <row r="254" spans="1:32">
      <c r="A254" s="112">
        <v>14</v>
      </c>
      <c r="B254" s="234">
        <f t="shared" si="45"/>
        <v>394.08849999999995</v>
      </c>
      <c r="C254" s="235">
        <f t="shared" si="46"/>
        <v>156</v>
      </c>
      <c r="D254" s="235">
        <f t="shared" si="47"/>
        <v>742.05</v>
      </c>
      <c r="E254" s="235">
        <f t="shared" si="48"/>
        <v>0</v>
      </c>
      <c r="F254" s="236">
        <f t="shared" si="49"/>
        <v>1433.1899999999996</v>
      </c>
      <c r="G254" s="236">
        <f t="shared" si="50"/>
        <v>1139.2413647999999</v>
      </c>
      <c r="H254" s="237">
        <f t="shared" si="51"/>
        <v>615.96702956249999</v>
      </c>
      <c r="I254" s="223">
        <f>0.35*$D$113*$D$114*(AA19-$J$266)*'Enf. convectivo nocturno'!G15</f>
        <v>0</v>
      </c>
      <c r="J254" s="234">
        <f t="shared" si="52"/>
        <v>628.56000000000006</v>
      </c>
      <c r="K254" s="230">
        <f t="shared" si="53"/>
        <v>0</v>
      </c>
      <c r="L254" s="226">
        <f t="shared" si="54"/>
        <v>584</v>
      </c>
      <c r="M254" s="78"/>
      <c r="S254" s="78"/>
      <c r="T254" s="78"/>
      <c r="U254" s="78"/>
      <c r="V254" s="78"/>
      <c r="W254" s="78"/>
      <c r="X254" s="78"/>
      <c r="Y254" s="78"/>
      <c r="Z254" s="78"/>
      <c r="AA254" s="353"/>
      <c r="AB254" s="386">
        <f t="shared" si="57"/>
        <v>4480.5368943624999</v>
      </c>
      <c r="AC254" s="358">
        <f t="shared" si="58"/>
        <v>1212.56</v>
      </c>
      <c r="AD254" s="361">
        <f t="shared" si="59"/>
        <v>5693.0968943624994</v>
      </c>
      <c r="AE254" s="358">
        <f t="shared" si="55"/>
        <v>0</v>
      </c>
      <c r="AF254" s="358">
        <f t="shared" si="56"/>
        <v>5693.0968943625003</v>
      </c>
    </row>
    <row r="255" spans="1:32">
      <c r="A255" s="112">
        <v>16</v>
      </c>
      <c r="B255" s="234">
        <f t="shared" si="45"/>
        <v>456.50149999999996</v>
      </c>
      <c r="C255" s="235">
        <f t="shared" si="46"/>
        <v>117</v>
      </c>
      <c r="D255" s="235">
        <f t="shared" si="47"/>
        <v>872.99999999999989</v>
      </c>
      <c r="E255" s="235">
        <f t="shared" si="48"/>
        <v>0</v>
      </c>
      <c r="F255" s="236">
        <f t="shared" si="49"/>
        <v>1291.3094016000002</v>
      </c>
      <c r="G255" s="236">
        <f t="shared" si="50"/>
        <v>385.97919360000009</v>
      </c>
      <c r="H255" s="237">
        <f t="shared" si="51"/>
        <v>554.98853351592015</v>
      </c>
      <c r="I255" s="223">
        <f>0.35*$D$113*$D$114*(AA20-$J$266)*'Enf. convectivo nocturno'!G16</f>
        <v>0</v>
      </c>
      <c r="J255" s="234">
        <f t="shared" si="52"/>
        <v>628.56000000000006</v>
      </c>
      <c r="K255" s="230">
        <f t="shared" si="53"/>
        <v>0</v>
      </c>
      <c r="L255" s="226">
        <f t="shared" si="54"/>
        <v>584</v>
      </c>
      <c r="M255" s="78"/>
      <c r="S255" s="78"/>
      <c r="T255" s="78"/>
      <c r="U255" s="78"/>
      <c r="V255" s="78"/>
      <c r="W255" s="78"/>
      <c r="X255" s="78"/>
      <c r="Y255" s="78"/>
      <c r="Z255" s="78"/>
      <c r="AA255" s="353"/>
      <c r="AB255" s="386">
        <f t="shared" si="57"/>
        <v>3678.7786287159201</v>
      </c>
      <c r="AC255" s="358">
        <f t="shared" si="58"/>
        <v>1212.56</v>
      </c>
      <c r="AD255" s="361">
        <f t="shared" si="59"/>
        <v>4891.3386287159201</v>
      </c>
      <c r="AE255" s="358">
        <f t="shared" si="55"/>
        <v>0</v>
      </c>
      <c r="AF255" s="358">
        <f t="shared" si="56"/>
        <v>4891.3386287159201</v>
      </c>
    </row>
    <row r="256" spans="1:32">
      <c r="A256" s="112">
        <v>18</v>
      </c>
      <c r="B256" s="234">
        <f t="shared" si="45"/>
        <v>538.94749999999999</v>
      </c>
      <c r="C256" s="235">
        <f t="shared" si="46"/>
        <v>97.5</v>
      </c>
      <c r="D256" s="235">
        <f t="shared" si="47"/>
        <v>1003.9499999999998</v>
      </c>
      <c r="E256" s="235">
        <f t="shared" si="48"/>
        <v>0</v>
      </c>
      <c r="F256" s="236">
        <f t="shared" si="49"/>
        <v>910.11213120000002</v>
      </c>
      <c r="G256" s="236">
        <f t="shared" si="50"/>
        <v>60.944083200000009</v>
      </c>
      <c r="H256" s="237">
        <f t="shared" si="51"/>
        <v>391.15474293294</v>
      </c>
      <c r="I256" s="223">
        <f>0.35*$D$113*$D$114*(AA21-$J$266)*'Enf. convectivo nocturno'!G17</f>
        <v>0</v>
      </c>
      <c r="J256" s="234">
        <f t="shared" si="52"/>
        <v>628.56000000000006</v>
      </c>
      <c r="K256" s="230">
        <f t="shared" si="53"/>
        <v>144</v>
      </c>
      <c r="L256" s="226">
        <f t="shared" si="54"/>
        <v>959</v>
      </c>
      <c r="M256" s="78"/>
      <c r="S256" s="78"/>
      <c r="T256" s="78"/>
      <c r="U256" s="78"/>
      <c r="V256" s="78"/>
      <c r="W256" s="78"/>
      <c r="X256" s="78"/>
      <c r="Y256" s="78"/>
      <c r="Z256" s="78"/>
      <c r="AA256" s="353"/>
      <c r="AB256" s="386">
        <f t="shared" si="57"/>
        <v>3002.6084573329395</v>
      </c>
      <c r="AC256" s="358">
        <f t="shared" si="58"/>
        <v>1731.56</v>
      </c>
      <c r="AD256" s="361">
        <f t="shared" si="59"/>
        <v>4734.1684573329394</v>
      </c>
      <c r="AE256" s="358">
        <f t="shared" si="55"/>
        <v>0</v>
      </c>
      <c r="AF256" s="358">
        <f t="shared" si="56"/>
        <v>4734.1684573329394</v>
      </c>
    </row>
    <row r="257" spans="1:32">
      <c r="A257" s="112">
        <v>20</v>
      </c>
      <c r="B257" s="234">
        <f t="shared" si="45"/>
        <v>630.3895</v>
      </c>
      <c r="C257" s="235">
        <f t="shared" si="46"/>
        <v>97.5</v>
      </c>
      <c r="D257" s="235">
        <f t="shared" si="47"/>
        <v>960.29999999999984</v>
      </c>
      <c r="E257" s="235">
        <f t="shared" si="48"/>
        <v>0</v>
      </c>
      <c r="F257" s="236">
        <f t="shared" si="49"/>
        <v>482.76093119999985</v>
      </c>
      <c r="G257" s="236">
        <f t="shared" si="50"/>
        <v>0</v>
      </c>
      <c r="H257" s="237">
        <f t="shared" si="51"/>
        <v>207.48457411793993</v>
      </c>
      <c r="I257" s="223">
        <f>0.35*$D$113*$D$114*(AA22-$J$266)*'Enf. convectivo nocturno'!G18</f>
        <v>0</v>
      </c>
      <c r="J257" s="234">
        <f t="shared" si="52"/>
        <v>1047.6000000000001</v>
      </c>
      <c r="K257" s="230">
        <f t="shared" si="53"/>
        <v>288</v>
      </c>
      <c r="L257" s="226">
        <f t="shared" si="54"/>
        <v>584</v>
      </c>
      <c r="M257" s="78"/>
      <c r="S257" s="78"/>
      <c r="T257" s="78"/>
      <c r="U257" s="78"/>
      <c r="V257" s="78"/>
      <c r="W257" s="78"/>
      <c r="X257" s="78"/>
      <c r="Y257" s="78"/>
      <c r="Z257" s="78"/>
      <c r="AA257" s="353"/>
      <c r="AB257" s="386">
        <f t="shared" si="57"/>
        <v>2378.4350053179396</v>
      </c>
      <c r="AC257" s="358">
        <f t="shared" si="58"/>
        <v>1919.6000000000001</v>
      </c>
      <c r="AD257" s="361">
        <f t="shared" si="59"/>
        <v>4298.03500531794</v>
      </c>
      <c r="AE257" s="358">
        <f t="shared" si="55"/>
        <v>0</v>
      </c>
      <c r="AF257" s="358">
        <f t="shared" si="56"/>
        <v>4298.03500531794</v>
      </c>
    </row>
    <row r="258" spans="1:32">
      <c r="A258" s="105">
        <v>22</v>
      </c>
      <c r="B258" s="238">
        <f t="shared" si="45"/>
        <v>566.80650000000003</v>
      </c>
      <c r="C258" s="239">
        <f t="shared" si="46"/>
        <v>87.75</v>
      </c>
      <c r="D258" s="239">
        <f t="shared" si="47"/>
        <v>916.64999999999986</v>
      </c>
      <c r="E258" s="239">
        <f t="shared" si="48"/>
        <v>0</v>
      </c>
      <c r="F258" s="240">
        <f t="shared" si="49"/>
        <v>251.9912832</v>
      </c>
      <c r="G258" s="240">
        <f t="shared" si="50"/>
        <v>0</v>
      </c>
      <c r="H258" s="241">
        <f t="shared" si="51"/>
        <v>108.30268295784001</v>
      </c>
      <c r="I258" s="223">
        <f>0.35*$D$113*$D$114*(AA23-$J$266)*'Enf. convectivo nocturno'!G19</f>
        <v>0</v>
      </c>
      <c r="J258" s="238">
        <f t="shared" si="52"/>
        <v>838.08000000000015</v>
      </c>
      <c r="K258" s="230">
        <f t="shared" si="53"/>
        <v>1080</v>
      </c>
      <c r="L258" s="229">
        <f t="shared" si="54"/>
        <v>3540</v>
      </c>
      <c r="M258" s="78"/>
      <c r="S258" s="78"/>
      <c r="T258" s="78"/>
      <c r="U258" s="78"/>
      <c r="V258" s="78"/>
      <c r="W258" s="78"/>
      <c r="X258" s="78"/>
      <c r="Y258" s="78"/>
      <c r="Z258" s="78"/>
      <c r="AA258" s="353"/>
      <c r="AB258" s="387">
        <f>SUM(B258:H258)</f>
        <v>1931.5004661578398</v>
      </c>
      <c r="AC258" s="354">
        <f>+SUM(J258:L258)</f>
        <v>5458.08</v>
      </c>
      <c r="AD258" s="361">
        <f>+AC258+AB258</f>
        <v>7389.5804661578395</v>
      </c>
      <c r="AE258" s="354">
        <f t="shared" si="55"/>
        <v>0</v>
      </c>
      <c r="AF258" s="354">
        <f t="shared" si="56"/>
        <v>7389.5804661578404</v>
      </c>
    </row>
    <row r="259" spans="1:32">
      <c r="A259" s="100"/>
      <c r="B259" s="233"/>
      <c r="C259" s="233"/>
      <c r="D259" s="233"/>
      <c r="E259" s="233"/>
      <c r="F259" s="233"/>
      <c r="G259" s="233"/>
      <c r="H259" s="233"/>
      <c r="I259" s="233"/>
      <c r="J259" s="233"/>
      <c r="K259" s="233"/>
      <c r="L259" s="227"/>
      <c r="M259" s="78"/>
      <c r="S259" s="78"/>
      <c r="T259" s="78"/>
      <c r="U259" s="78"/>
      <c r="V259" s="78"/>
      <c r="W259" s="78"/>
      <c r="X259" s="78"/>
      <c r="Y259" s="78"/>
      <c r="Z259" s="78"/>
      <c r="AA259" s="353"/>
      <c r="AB259" s="388"/>
      <c r="AC259" s="358"/>
      <c r="AD259" s="360"/>
      <c r="AE259" s="359"/>
      <c r="AF259" s="358"/>
    </row>
    <row r="260" spans="1:32">
      <c r="A260" s="112" t="s">
        <v>528</v>
      </c>
      <c r="B260" s="236">
        <f t="shared" ref="B260:L260" si="60">SUM(B247:B258)</f>
        <v>4560.4714999999997</v>
      </c>
      <c r="C260" s="236">
        <f t="shared" si="60"/>
        <v>1014</v>
      </c>
      <c r="D260" s="236">
        <f t="shared" si="60"/>
        <v>6678.45</v>
      </c>
      <c r="E260" s="236">
        <f t="shared" si="60"/>
        <v>0</v>
      </c>
      <c r="F260" s="236">
        <f t="shared" si="60"/>
        <v>5806.8064127999987</v>
      </c>
      <c r="G260" s="236">
        <f t="shared" si="60"/>
        <v>5220.8206511999997</v>
      </c>
      <c r="H260" s="236">
        <f t="shared" si="60"/>
        <v>2495.69233481736</v>
      </c>
      <c r="I260" s="236">
        <f t="shared" si="60"/>
        <v>-45023.310388672551</v>
      </c>
      <c r="J260" s="236">
        <f t="shared" si="60"/>
        <v>9700.7760000000017</v>
      </c>
      <c r="K260" s="236">
        <f t="shared" si="60"/>
        <v>2160</v>
      </c>
      <c r="L260" s="237">
        <f t="shared" si="60"/>
        <v>10098</v>
      </c>
      <c r="M260" s="78"/>
      <c r="S260" s="78"/>
      <c r="T260" s="78"/>
      <c r="U260" s="78"/>
      <c r="V260" s="78"/>
      <c r="W260" s="78"/>
      <c r="X260" s="78"/>
      <c r="Y260" s="78"/>
      <c r="Z260" s="78"/>
      <c r="AA260" s="353"/>
      <c r="AB260" s="389">
        <f>SUM(AB247:AB258)</f>
        <v>25776.240898817359</v>
      </c>
      <c r="AC260" s="354">
        <f>SUM(AC247:AC258)</f>
        <v>21958.775999999998</v>
      </c>
      <c r="AD260" s="354">
        <f>SUM(AD247:AD258)</f>
        <v>47735.016898817354</v>
      </c>
      <c r="AE260" s="354">
        <f>SUM(AE247:AE258)</f>
        <v>-45023.310388672551</v>
      </c>
      <c r="AF260" s="354">
        <f>SUM(AF247:AF258)</f>
        <v>2711.7065101448106</v>
      </c>
    </row>
    <row r="261" spans="1:32">
      <c r="A261" s="105" t="s">
        <v>77</v>
      </c>
      <c r="B261" s="242">
        <f t="shared" ref="B261:H261" si="61">+B260/$AD$260</f>
        <v>9.5537234430370266E-2</v>
      </c>
      <c r="C261" s="242">
        <f t="shared" si="61"/>
        <v>2.124226754018646E-2</v>
      </c>
      <c r="D261" s="242">
        <f t="shared" si="61"/>
        <v>0.13990672746918961</v>
      </c>
      <c r="E261" s="242">
        <f t="shared" si="61"/>
        <v>0</v>
      </c>
      <c r="F261" s="242">
        <f t="shared" si="61"/>
        <v>0.12164668182915975</v>
      </c>
      <c r="G261" s="242">
        <f t="shared" si="61"/>
        <v>0.10937087677723954</v>
      </c>
      <c r="H261" s="242">
        <f t="shared" si="61"/>
        <v>5.2282213288148881E-2</v>
      </c>
      <c r="I261" s="242"/>
      <c r="J261" s="242">
        <f>+J260/$AD$260</f>
        <v>0.2032213798219131</v>
      </c>
      <c r="K261" s="242">
        <f>+K260/$AD$260</f>
        <v>4.5249800677320269E-2</v>
      </c>
      <c r="L261" s="242">
        <f>+L260/$AD$260</f>
        <v>0.21154281816647225</v>
      </c>
      <c r="M261" s="78"/>
      <c r="N261" s="220"/>
      <c r="O261" s="220"/>
      <c r="P261" s="220"/>
      <c r="Q261" s="220"/>
      <c r="S261" s="78"/>
      <c r="T261" s="78"/>
      <c r="U261" s="78"/>
      <c r="V261" s="78"/>
      <c r="W261" s="78"/>
      <c r="X261" s="78"/>
      <c r="Y261" s="78"/>
      <c r="Z261" s="78"/>
      <c r="AA261" s="353"/>
      <c r="AB261" s="390"/>
      <c r="AC261" s="178"/>
      <c r="AD261" s="178"/>
      <c r="AE261" s="178"/>
      <c r="AF261" s="178"/>
    </row>
    <row r="262" spans="1:32">
      <c r="A262" s="88" t="s">
        <v>223</v>
      </c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</row>
    <row r="263" spans="1:32" ht="13.5" thickBot="1">
      <c r="A263" s="8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</row>
    <row r="264" spans="1:32">
      <c r="A264" s="270" t="s">
        <v>224</v>
      </c>
      <c r="B264" s="263"/>
      <c r="C264" s="263"/>
      <c r="D264" s="271">
        <f>MAX(AF247:AF258)</f>
        <v>7389.5804661578404</v>
      </c>
      <c r="E264" s="264" t="s">
        <v>397</v>
      </c>
      <c r="F264" s="262"/>
      <c r="G264" s="263"/>
      <c r="H264" s="264"/>
      <c r="I264" s="654" t="s">
        <v>730</v>
      </c>
      <c r="J264" s="655"/>
      <c r="K264" s="656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</row>
    <row r="265" spans="1:32">
      <c r="A265" s="69" t="s">
        <v>280</v>
      </c>
      <c r="B265" s="104"/>
      <c r="C265" s="104"/>
      <c r="D265" s="272">
        <f>+D264*3600/4186</f>
        <v>6355.1098132270008</v>
      </c>
      <c r="E265" s="266" t="s">
        <v>225</v>
      </c>
      <c r="F265" s="265" t="s">
        <v>425</v>
      </c>
      <c r="G265" s="104"/>
      <c r="H265" s="266"/>
      <c r="I265" s="657"/>
      <c r="J265" s="658"/>
      <c r="K265" s="659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</row>
    <row r="266" spans="1:32" ht="13.5" thickBot="1">
      <c r="A266" s="273" t="s">
        <v>281</v>
      </c>
      <c r="B266" s="274"/>
      <c r="C266" s="274"/>
      <c r="D266" s="275">
        <f>+D265/3000</f>
        <v>2.1183699377423335</v>
      </c>
      <c r="E266" s="269" t="s">
        <v>226</v>
      </c>
      <c r="F266" s="267" t="s">
        <v>426</v>
      </c>
      <c r="G266" s="285">
        <v>23</v>
      </c>
      <c r="H266" s="269" t="s">
        <v>98</v>
      </c>
      <c r="I266" s="267"/>
      <c r="J266" s="285">
        <v>25</v>
      </c>
      <c r="K266" s="269" t="s">
        <v>98</v>
      </c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</row>
    <row r="267" spans="1:32">
      <c r="A267" s="88"/>
      <c r="B267" s="78"/>
      <c r="C267" s="78"/>
      <c r="D267" s="78"/>
      <c r="E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</row>
    <row r="268" spans="1:32">
      <c r="A268" s="8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</row>
    <row r="269" spans="1:32">
      <c r="A269" s="88"/>
      <c r="B269" s="78"/>
      <c r="C269" s="78" t="s">
        <v>2</v>
      </c>
      <c r="D269" s="88" t="s">
        <v>2</v>
      </c>
      <c r="E269" s="88" t="s">
        <v>2</v>
      </c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</row>
    <row r="270" spans="1:32">
      <c r="A270" s="88"/>
      <c r="B270" s="221" t="s">
        <v>140</v>
      </c>
      <c r="C270" s="89" t="s">
        <v>6</v>
      </c>
      <c r="D270" s="88" t="s">
        <v>584</v>
      </c>
      <c r="E270" s="88" t="s">
        <v>583</v>
      </c>
      <c r="F270" s="221" t="s">
        <v>215</v>
      </c>
      <c r="G270" s="221" t="s">
        <v>212</v>
      </c>
      <c r="H270" s="221" t="s">
        <v>213</v>
      </c>
      <c r="I270" s="221" t="s">
        <v>214</v>
      </c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</row>
    <row r="271" spans="1:32">
      <c r="A271" s="78"/>
      <c r="B271" s="78"/>
      <c r="C271" s="78"/>
      <c r="D271" s="78"/>
      <c r="E271" s="78"/>
      <c r="F271" s="78"/>
      <c r="G271" s="78"/>
      <c r="H271" s="78"/>
      <c r="I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</row>
    <row r="272" spans="1:32">
      <c r="A272" s="78"/>
      <c r="B272" s="224">
        <f>+B260+C260</f>
        <v>5574.4714999999997</v>
      </c>
      <c r="C272" s="224">
        <f>+D260+E260</f>
        <v>6678.45</v>
      </c>
      <c r="D272" s="224">
        <f t="shared" ref="D272:F273" si="62">+F260</f>
        <v>5806.8064127999987</v>
      </c>
      <c r="E272" s="224">
        <f t="shared" si="62"/>
        <v>5220.8206511999997</v>
      </c>
      <c r="F272" s="224">
        <f t="shared" si="62"/>
        <v>2495.69233481736</v>
      </c>
      <c r="G272" s="224">
        <f t="shared" ref="G272:I273" si="63">+J260</f>
        <v>9700.7760000000017</v>
      </c>
      <c r="H272" s="224">
        <f t="shared" si="63"/>
        <v>2160</v>
      </c>
      <c r="I272" s="224">
        <f t="shared" si="63"/>
        <v>10098</v>
      </c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</row>
    <row r="273" spans="1:27">
      <c r="A273" s="78"/>
      <c r="B273" s="363">
        <f>+B261+C261</f>
        <v>0.11677950197055673</v>
      </c>
      <c r="C273" s="363">
        <f>+D261+E261</f>
        <v>0.13990672746918961</v>
      </c>
      <c r="D273" s="363">
        <f t="shared" si="62"/>
        <v>0.12164668182915975</v>
      </c>
      <c r="E273" s="363">
        <f t="shared" si="62"/>
        <v>0.10937087677723954</v>
      </c>
      <c r="F273" s="363">
        <f t="shared" si="62"/>
        <v>5.2282213288148881E-2</v>
      </c>
      <c r="G273" s="363">
        <f t="shared" si="63"/>
        <v>0.2032213798219131</v>
      </c>
      <c r="H273" s="363">
        <f t="shared" si="63"/>
        <v>4.5249800677320269E-2</v>
      </c>
      <c r="I273" s="363">
        <f t="shared" si="63"/>
        <v>0.21154281816647225</v>
      </c>
      <c r="J273" s="364">
        <f>SUM(B273:I273)</f>
        <v>1.0000000000000002</v>
      </c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</row>
    <row r="274" spans="1:27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</row>
    <row r="275" spans="1:27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</row>
    <row r="276" spans="1:27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</row>
    <row r="277" spans="1:27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</row>
    <row r="278" spans="1:27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</row>
    <row r="279" spans="1:27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</row>
    <row r="280" spans="1:27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</row>
    <row r="281" spans="1:27">
      <c r="A281" s="78"/>
      <c r="B281" s="78"/>
      <c r="C281" s="78"/>
      <c r="D281" s="78"/>
      <c r="E281" s="78"/>
      <c r="F281" s="78"/>
      <c r="G281" s="91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</row>
    <row r="282" spans="1:27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</row>
    <row r="283" spans="1:27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</row>
    <row r="284" spans="1:27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</row>
    <row r="285" spans="1:27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</row>
    <row r="286" spans="1:27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</row>
    <row r="287" spans="1:27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</row>
    <row r="288" spans="1:27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</row>
    <row r="289" spans="1:27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</row>
    <row r="290" spans="1:27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</row>
    <row r="291" spans="1:27">
      <c r="A291" s="8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</row>
    <row r="292" spans="1:27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</row>
    <row r="293" spans="1:27">
      <c r="A293" s="8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</row>
    <row r="294" spans="1:27">
      <c r="A294" s="8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</row>
    <row r="295" spans="1:27">
      <c r="A295" s="8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</row>
    <row r="296" spans="1:27">
      <c r="A296" s="8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</row>
    <row r="297" spans="1:27">
      <c r="A297" s="8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</row>
    <row r="298" spans="1:27">
      <c r="A298" s="8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</row>
    <row r="299" spans="1:27">
      <c r="A299" s="8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</row>
    <row r="300" spans="1:27"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</row>
    <row r="301" spans="1:27"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</row>
    <row r="302" spans="1:27"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</row>
    <row r="303" spans="1:27"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</row>
  </sheetData>
  <mergeCells count="2">
    <mergeCell ref="AC140:AC141"/>
    <mergeCell ref="I264:K265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K130"/>
  <sheetViews>
    <sheetView workbookViewId="0">
      <selection activeCell="B17" sqref="B17"/>
    </sheetView>
  </sheetViews>
  <sheetFormatPr baseColWidth="10" defaultRowHeight="12.75"/>
  <cols>
    <col min="1" max="1" width="15" customWidth="1"/>
    <col min="8" max="8" width="12.140625" bestFit="1" customWidth="1"/>
  </cols>
  <sheetData>
    <row r="1" spans="1:11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5" t="s">
        <v>343</v>
      </c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>
      <c r="A3" s="292" t="s">
        <v>577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>
      <c r="A4" s="292"/>
      <c r="B4" s="95"/>
      <c r="C4" s="95"/>
      <c r="D4" s="95"/>
      <c r="E4" s="178"/>
      <c r="F4" s="95" t="s">
        <v>344</v>
      </c>
      <c r="G4" s="95"/>
      <c r="H4" s="95"/>
      <c r="I4" s="362">
        <f>+'Balance enfriamiento'!AD260</f>
        <v>47735.016898817354</v>
      </c>
      <c r="J4" s="95" t="s">
        <v>450</v>
      </c>
      <c r="K4" s="96"/>
    </row>
    <row r="5" spans="1:11">
      <c r="A5" s="96" t="s">
        <v>345</v>
      </c>
      <c r="B5" s="96"/>
      <c r="C5" s="96"/>
      <c r="D5" s="96"/>
      <c r="E5" s="178"/>
      <c r="F5" s="96"/>
      <c r="G5" s="96"/>
      <c r="H5" s="96"/>
      <c r="I5" s="96"/>
      <c r="J5" s="96"/>
      <c r="K5" s="96"/>
    </row>
    <row r="6" spans="1:11">
      <c r="A6" s="96" t="s">
        <v>465</v>
      </c>
      <c r="B6" s="96"/>
      <c r="C6" s="96"/>
      <c r="D6" s="96"/>
      <c r="E6" s="178"/>
      <c r="F6" s="95" t="s">
        <v>534</v>
      </c>
      <c r="G6" s="95"/>
      <c r="H6" s="95"/>
      <c r="I6" s="96"/>
      <c r="J6" s="96"/>
      <c r="K6" s="96"/>
    </row>
    <row r="7" spans="1:11">
      <c r="A7" s="96"/>
      <c r="B7" s="96"/>
      <c r="C7" s="96"/>
      <c r="D7" s="96"/>
      <c r="E7" s="178"/>
      <c r="F7" s="95" t="s">
        <v>187</v>
      </c>
      <c r="G7" s="95" t="s">
        <v>209</v>
      </c>
      <c r="H7" s="95" t="s">
        <v>535</v>
      </c>
      <c r="I7" s="96"/>
      <c r="J7" s="96"/>
      <c r="K7" s="96"/>
    </row>
    <row r="8" spans="1:11">
      <c r="A8" s="96" t="s">
        <v>467</v>
      </c>
      <c r="B8" s="96"/>
      <c r="C8" s="96"/>
      <c r="D8" s="96"/>
      <c r="E8" s="178"/>
      <c r="F8" s="127">
        <v>0</v>
      </c>
      <c r="G8" s="127">
        <f>IF((0.35*'Balance enfriamiento'!$D$113*'Balance enfriamiento'!$D$114*('Balance enfriamiento'!AA12-'Balance enfriamiento'!$G$266))&lt;0,($B$16),0)</f>
        <v>0</v>
      </c>
      <c r="H8" s="98">
        <f>IF((0.35*'Balance enfriamiento'!$D$113*'Balance enfriamiento'!$D$114*('Balance enfriamiento'!AA12-'Balance enfriamiento'!$J$266)*G8)&lt;0,(0.35*'Balance enfriamiento'!$D$113*'Balance enfriamiento'!$D$114*('Balance enfriamiento'!AA12-'Balance enfriamiento'!$J$266)*G8),0)</f>
        <v>0</v>
      </c>
      <c r="I8" s="96" t="s">
        <v>222</v>
      </c>
      <c r="J8" s="96"/>
      <c r="K8" s="96"/>
    </row>
    <row r="9" spans="1:11">
      <c r="A9" s="96" t="s">
        <v>466</v>
      </c>
      <c r="B9" s="96"/>
      <c r="C9" s="96"/>
      <c r="D9" s="96"/>
      <c r="E9" s="178"/>
      <c r="F9" s="127">
        <v>2</v>
      </c>
      <c r="G9" s="127">
        <f>IF((0.35*'Balance enfriamiento'!$D$113*'Balance enfriamiento'!$D$114*('Balance enfriamiento'!AA13-'Balance enfriamiento'!$G$266))&lt;0,($B$16),0)</f>
        <v>37</v>
      </c>
      <c r="H9" s="98">
        <f>IF((0.35*'Balance enfriamiento'!$D$113*'Balance enfriamiento'!$D$114*('Balance enfriamiento'!AA13-'Balance enfriamiento'!$J$266)*G9)&lt;0,(0.35*'Balance enfriamiento'!$D$113*'Balance enfriamiento'!$D$114*('Balance enfriamiento'!AA13-'Balance enfriamiento'!$J$266)*G9),0)</f>
        <v>-7857.9294740906389</v>
      </c>
      <c r="I9" s="96" t="s">
        <v>222</v>
      </c>
      <c r="J9" s="96"/>
      <c r="K9" s="96"/>
    </row>
    <row r="10" spans="1:11">
      <c r="A10" s="96"/>
      <c r="B10" s="96"/>
      <c r="C10" s="96"/>
      <c r="D10" s="96"/>
      <c r="E10" s="178"/>
      <c r="F10" s="127">
        <v>4</v>
      </c>
      <c r="G10" s="127">
        <f>IF((0.35*'Balance enfriamiento'!$D$113*'Balance enfriamiento'!$D$114*('Balance enfriamiento'!AA14-'Balance enfriamiento'!$G$266))&lt;0,($B$16),0)</f>
        <v>37</v>
      </c>
      <c r="H10" s="98">
        <f>IF((0.35*'Balance enfriamiento'!$D$113*'Balance enfriamiento'!$D$114*('Balance enfriamiento'!AA14-'Balance enfriamiento'!$J$266)*G10)&lt;0,(0.35*'Balance enfriamiento'!$D$113*'Balance enfriamiento'!$D$114*('Balance enfriamiento'!AA14-'Balance enfriamiento'!$J$266)*G10),0)</f>
        <v>-12370.33818153756</v>
      </c>
      <c r="I10" s="96" t="s">
        <v>222</v>
      </c>
      <c r="J10" s="96"/>
      <c r="K10" s="96"/>
    </row>
    <row r="11" spans="1:11">
      <c r="A11" s="292" t="s">
        <v>555</v>
      </c>
      <c r="B11" s="96"/>
      <c r="C11" s="96"/>
      <c r="D11" s="96"/>
      <c r="E11" s="178"/>
      <c r="F11" s="127">
        <v>6</v>
      </c>
      <c r="G11" s="127">
        <f>IF((0.35*'Balance enfriamiento'!$D$113*'Balance enfriamiento'!$D$114*('Balance enfriamiento'!AA15-'Balance enfriamiento'!$G$266))&lt;0,($B$16),0)</f>
        <v>37</v>
      </c>
      <c r="H11" s="98">
        <f>IF((0.35*'Balance enfriamiento'!$D$113*'Balance enfriamiento'!$D$114*('Balance enfriamiento'!AA15-'Balance enfriamiento'!$J$266)*G11)&lt;0,(0.35*'Balance enfriamiento'!$D$113*'Balance enfriamiento'!$D$114*('Balance enfriamiento'!AA15-'Balance enfriamiento'!$J$266)*G11),0)</f>
        <v>-15414.854899814994</v>
      </c>
      <c r="I11" s="96" t="s">
        <v>222</v>
      </c>
      <c r="J11" s="96"/>
      <c r="K11" s="96"/>
    </row>
    <row r="12" spans="1:11">
      <c r="A12" s="96" t="s">
        <v>520</v>
      </c>
      <c r="B12" s="96"/>
      <c r="C12" s="96"/>
      <c r="D12" s="96"/>
      <c r="E12" s="178"/>
      <c r="F12" s="127">
        <v>8</v>
      </c>
      <c r="G12" s="127">
        <f>IF((0.35*'Balance enfriamiento'!$D$113*'Balance enfriamiento'!$D$114*('Balance enfriamiento'!AA16-'Balance enfriamiento'!$G$266))&lt;0,($B$16),0)</f>
        <v>37</v>
      </c>
      <c r="H12" s="98">
        <f>IF((0.35*'Balance enfriamiento'!$D$113*'Balance enfriamiento'!$D$114*('Balance enfriamiento'!AA16-'Balance enfriamiento'!$J$266)*G12)&lt;0,(0.35*'Balance enfriamiento'!$D$113*'Balance enfriamiento'!$D$114*('Balance enfriamiento'!AA16-'Balance enfriamiento'!$J$266)*G12),0)</f>
        <v>-9380.1878332293563</v>
      </c>
      <c r="I12" s="96" t="s">
        <v>222</v>
      </c>
      <c r="J12" s="96"/>
      <c r="K12" s="96"/>
    </row>
    <row r="13" spans="1:11">
      <c r="A13" s="292" t="s">
        <v>598</v>
      </c>
      <c r="B13" s="96"/>
      <c r="C13" s="96"/>
      <c r="D13" s="96"/>
      <c r="E13" s="178"/>
      <c r="F13" s="127">
        <v>10</v>
      </c>
      <c r="G13" s="127">
        <v>0</v>
      </c>
      <c r="H13" s="98">
        <f>IF((0.35*'Balance enfriamiento'!$D$113*'Balance enfriamiento'!$D$114*('Balance enfriamiento'!AA17-'Balance enfriamiento'!$J$266)*G13)&lt;0,(0.35*'Balance enfriamiento'!$D$113*'Balance enfriamiento'!$D$114*('Balance enfriamiento'!AA17-'Balance enfriamiento'!$J$266)*G13),0)</f>
        <v>0</v>
      </c>
      <c r="I13" s="96" t="s">
        <v>222</v>
      </c>
      <c r="J13" s="96"/>
      <c r="K13" s="96"/>
    </row>
    <row r="14" spans="1:11">
      <c r="A14" s="292" t="s">
        <v>599</v>
      </c>
      <c r="B14" s="96"/>
      <c r="C14" s="96"/>
      <c r="D14" s="96"/>
      <c r="E14" s="178"/>
      <c r="F14" s="127">
        <v>12</v>
      </c>
      <c r="G14" s="127">
        <f>IF((0.35*'Balance enfriamiento'!$D$113*'Balance enfriamiento'!$D$114*('Balance enfriamiento'!AA18-'Balance enfriamiento'!$G$266))&lt;0,($B$16),0)</f>
        <v>0</v>
      </c>
      <c r="H14" s="98">
        <f>IF((0.35*'Balance enfriamiento'!$D$113*'Balance enfriamiento'!$D$114*('Balance enfriamiento'!AA18-'Balance enfriamiento'!$J$266)*G14)&lt;0,(0.35*'Balance enfriamiento'!$D$113*'Balance enfriamiento'!$D$114*('Balance enfriamiento'!AA18-'Balance enfriamiento'!$J$266)*G14),0)</f>
        <v>0</v>
      </c>
      <c r="I14" s="96" t="s">
        <v>222</v>
      </c>
      <c r="J14" s="96"/>
      <c r="K14" s="96"/>
    </row>
    <row r="15" spans="1:11">
      <c r="A15" s="178"/>
      <c r="B15" s="178"/>
      <c r="C15" s="96"/>
      <c r="D15" s="96"/>
      <c r="E15" s="185"/>
      <c r="F15" s="127">
        <v>14</v>
      </c>
      <c r="G15" s="127">
        <f>IF((0.35*'Balance enfriamiento'!$D$113*'Balance enfriamiento'!$D$114*('Balance enfriamiento'!AA19-'Balance enfriamiento'!$G$266))&lt;0,($B$16),0)</f>
        <v>0</v>
      </c>
      <c r="H15" s="98">
        <f>IF((0.35*'Balance enfriamiento'!$D$113*'Balance enfriamiento'!$D$114*('Balance enfriamiento'!AA19-'Balance enfriamiento'!$J$266)*G15)&lt;0,(0.35*'Balance enfriamiento'!$D$113*'Balance enfriamiento'!$D$114*('Balance enfriamiento'!AA19-'Balance enfriamiento'!$J$266)*G15),0)</f>
        <v>0</v>
      </c>
      <c r="I15" s="96" t="s">
        <v>222</v>
      </c>
      <c r="J15" s="96"/>
      <c r="K15" s="96"/>
    </row>
    <row r="16" spans="1:11">
      <c r="A16" s="185" t="s">
        <v>398</v>
      </c>
      <c r="B16" s="365">
        <v>37</v>
      </c>
      <c r="C16" s="178"/>
      <c r="D16" s="178"/>
      <c r="E16" s="178"/>
      <c r="F16" s="127">
        <v>16</v>
      </c>
      <c r="G16" s="127">
        <f>IF((0.35*'Balance enfriamiento'!$D$113*'Balance enfriamiento'!$D$114*('Balance enfriamiento'!AA20-'Balance enfriamiento'!$G$266))&lt;0,($B$16),0)</f>
        <v>0</v>
      </c>
      <c r="H16" s="98">
        <f>IF((0.35*'Balance enfriamiento'!$D$113*'Balance enfriamiento'!$D$114*('Balance enfriamiento'!AA20-'Balance enfriamiento'!$J$266)*G16)&lt;0,(0.35*'Balance enfriamiento'!$D$113*'Balance enfriamiento'!$D$114*('Balance enfriamiento'!AA20-'Balance enfriamiento'!$J$266)*G16),0)</f>
        <v>0</v>
      </c>
      <c r="I16" s="96" t="s">
        <v>222</v>
      </c>
      <c r="J16" s="96"/>
      <c r="K16" s="96"/>
    </row>
    <row r="17" spans="1:11">
      <c r="A17" s="178"/>
      <c r="B17" s="178"/>
      <c r="C17" s="178"/>
      <c r="D17" s="178"/>
      <c r="E17" s="178"/>
      <c r="F17" s="127">
        <v>18</v>
      </c>
      <c r="G17" s="127">
        <f>IF((0.35*'Balance enfriamiento'!$D$113*'Balance enfriamiento'!$D$114*('Balance enfriamiento'!AA21-'Balance enfriamiento'!$G$266))&lt;0,($B$16),0)</f>
        <v>0</v>
      </c>
      <c r="H17" s="98">
        <f>IF((0.35*'Balance enfriamiento'!$D$113*'Balance enfriamiento'!$D$114*('Balance enfriamiento'!AA21-'Balance enfriamiento'!$J$266)*G17)&lt;0,(0.35*'Balance enfriamiento'!$D$113*'Balance enfriamiento'!$D$114*('Balance enfriamiento'!AA21-'Balance enfriamiento'!$J$266)*G17),0)</f>
        <v>0</v>
      </c>
      <c r="I17" s="96" t="s">
        <v>222</v>
      </c>
      <c r="J17" s="96"/>
      <c r="K17" s="96"/>
    </row>
    <row r="18" spans="1:11">
      <c r="A18" s="185" t="s">
        <v>346</v>
      </c>
      <c r="B18" s="185"/>
      <c r="C18" s="185"/>
      <c r="D18" s="185"/>
      <c r="E18" s="178"/>
      <c r="F18" s="127">
        <v>20</v>
      </c>
      <c r="G18" s="127">
        <f>IF((0.35*'Balance enfriamiento'!$D$113*'Balance enfriamiento'!$D$114*('Balance enfriamiento'!AA22-'Balance enfriamiento'!$G$266))&lt;0,($B$16),0)</f>
        <v>0</v>
      </c>
      <c r="H18" s="98">
        <f>IF((0.35*'Balance enfriamiento'!$D$113*'Balance enfriamiento'!$D$114*('Balance enfriamiento'!AA22-'Balance enfriamiento'!$J$266)*G18)&lt;0,(0.35*'Balance enfriamiento'!$D$113*'Balance enfriamiento'!$D$114*('Balance enfriamiento'!AA22-'Balance enfriamiento'!$J$266)*G18),0)</f>
        <v>0</v>
      </c>
      <c r="I18" s="96" t="s">
        <v>222</v>
      </c>
      <c r="J18" s="96"/>
      <c r="K18" s="96"/>
    </row>
    <row r="19" spans="1:11">
      <c r="A19" s="186" t="s">
        <v>556</v>
      </c>
      <c r="B19" s="185"/>
      <c r="C19" s="185"/>
      <c r="D19" s="185"/>
      <c r="E19" s="178"/>
      <c r="F19" s="127">
        <v>22</v>
      </c>
      <c r="G19" s="127">
        <f>IF((0.35*'Balance enfriamiento'!$D$113*'Balance enfriamiento'!$D$114*('Balance enfriamiento'!AA23-'Balance enfriamiento'!$G$266))&lt;0,($B$16),0)</f>
        <v>0</v>
      </c>
      <c r="H19" s="98">
        <f>IF((0.35*'Balance enfriamiento'!$D$113*'Balance enfriamiento'!$D$114*('Balance enfriamiento'!AA23-'Balance enfriamiento'!$J$266)*G19)&lt;0,(0.35*'Balance enfriamiento'!$D$113*'Balance enfriamiento'!$D$114*('Balance enfriamiento'!AA23-'Balance enfriamiento'!$J$266)*G19),0)</f>
        <v>0</v>
      </c>
      <c r="I19" s="96" t="s">
        <v>222</v>
      </c>
      <c r="J19" s="96"/>
      <c r="K19" s="96"/>
    </row>
    <row r="20" spans="1:11">
      <c r="A20" s="186" t="s">
        <v>557</v>
      </c>
      <c r="B20" s="185"/>
      <c r="C20" s="185"/>
      <c r="D20" s="185"/>
      <c r="E20" s="178"/>
      <c r="F20" s="96"/>
      <c r="G20" s="95"/>
      <c r="H20" s="95"/>
      <c r="I20" s="96"/>
      <c r="J20" s="96"/>
      <c r="K20" s="96"/>
    </row>
    <row r="21" spans="1:11">
      <c r="A21" s="186" t="s">
        <v>595</v>
      </c>
      <c r="B21" s="185"/>
      <c r="C21" s="185"/>
      <c r="D21" s="185"/>
      <c r="E21" s="178"/>
      <c r="F21" s="96"/>
      <c r="G21" s="126" t="s">
        <v>0</v>
      </c>
      <c r="H21" s="362">
        <f>SUM(H8:H19)</f>
        <v>-45023.310388672551</v>
      </c>
      <c r="I21" s="292" t="s">
        <v>450</v>
      </c>
      <c r="J21" s="96"/>
      <c r="K21" s="96"/>
    </row>
    <row r="22" spans="1:11">
      <c r="A22" s="178" t="s">
        <v>596</v>
      </c>
      <c r="B22" s="178"/>
      <c r="C22" s="178"/>
      <c r="D22" s="178"/>
      <c r="E22" s="178"/>
      <c r="F22" s="185"/>
      <c r="G22" s="185"/>
      <c r="H22" s="185"/>
      <c r="I22" s="185"/>
      <c r="J22" s="185"/>
      <c r="K22" s="185"/>
    </row>
    <row r="23" spans="1:11">
      <c r="A23" s="394" t="s">
        <v>597</v>
      </c>
      <c r="B23" s="178"/>
      <c r="C23" s="178"/>
      <c r="D23" s="178"/>
      <c r="E23" s="178"/>
      <c r="F23" s="185"/>
      <c r="G23" s="185"/>
      <c r="H23" s="185"/>
      <c r="I23" s="185"/>
      <c r="J23" s="185"/>
      <c r="K23" s="185"/>
    </row>
    <row r="24" spans="1:11">
      <c r="A24" s="178" t="s">
        <v>558</v>
      </c>
      <c r="B24" s="178"/>
      <c r="C24" s="178"/>
      <c r="D24" s="178"/>
      <c r="E24" s="178"/>
      <c r="F24" s="178"/>
      <c r="G24" s="178"/>
      <c r="H24" s="178"/>
      <c r="I24" s="496" t="str">
        <f>IF(H21=0,"ESTA ESTRATEGIA NO APLICA"," ")</f>
        <v xml:space="preserve"> </v>
      </c>
      <c r="J24" s="178"/>
      <c r="K24" s="178"/>
    </row>
    <row r="25" spans="1:11">
      <c r="A25" s="178"/>
      <c r="B25" s="178"/>
      <c r="C25" s="178"/>
      <c r="D25" s="178"/>
      <c r="E25" s="178"/>
      <c r="F25" s="178"/>
      <c r="G25" s="178"/>
      <c r="H25" s="178"/>
      <c r="I25" s="496" t="str">
        <f>IF(B16&gt;50,"ESTA ESTRATEGIA NO APLICA"," ")</f>
        <v xml:space="preserve"> </v>
      </c>
      <c r="J25" s="178"/>
      <c r="K25" s="178"/>
    </row>
    <row r="26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spans="1:11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</row>
    <row r="28" spans="1:11">
      <c r="A28" s="95" t="s">
        <v>578</v>
      </c>
      <c r="B28" s="96"/>
      <c r="C28" s="96"/>
      <c r="D28" s="96"/>
      <c r="E28" s="96"/>
      <c r="F28" s="96"/>
      <c r="G28" s="96"/>
      <c r="H28" s="7"/>
      <c r="I28" s="7"/>
      <c r="J28" s="7"/>
      <c r="K28" s="7"/>
    </row>
    <row r="29" spans="1:11">
      <c r="A29" s="96" t="s">
        <v>575</v>
      </c>
      <c r="B29" s="96"/>
      <c r="C29" s="96"/>
      <c r="D29" s="96"/>
      <c r="E29" s="96"/>
      <c r="F29" s="96"/>
      <c r="G29" s="96"/>
      <c r="H29" s="7"/>
      <c r="I29" s="7"/>
      <c r="J29" s="7"/>
      <c r="K29" s="7"/>
    </row>
    <row r="30" spans="1:11">
      <c r="A30" s="95"/>
      <c r="B30" s="96"/>
      <c r="C30" s="96"/>
      <c r="D30" s="96"/>
      <c r="E30" s="96"/>
      <c r="F30" s="96"/>
      <c r="G30" s="96"/>
      <c r="H30" s="7"/>
      <c r="I30" s="7"/>
      <c r="J30" s="7"/>
      <c r="K30" s="7"/>
    </row>
    <row r="31" spans="1:11">
      <c r="A31" s="95" t="s">
        <v>574</v>
      </c>
      <c r="B31" s="96"/>
      <c r="C31" s="96"/>
      <c r="D31" s="96"/>
      <c r="E31" s="96"/>
      <c r="F31" s="96"/>
      <c r="G31" s="96"/>
      <c r="H31" s="7"/>
      <c r="I31" s="7"/>
      <c r="J31" s="7"/>
      <c r="K31" s="7"/>
    </row>
    <row r="32" spans="1:11">
      <c r="A32" s="96"/>
      <c r="B32" s="96"/>
      <c r="C32" s="96"/>
      <c r="D32" s="96"/>
      <c r="E32" s="96"/>
      <c r="F32" s="96"/>
      <c r="G32" s="96"/>
      <c r="H32" s="7"/>
      <c r="I32" s="7"/>
      <c r="J32" s="7"/>
      <c r="K32" s="7"/>
    </row>
    <row r="33" spans="1:11" ht="14.25">
      <c r="A33" s="292" t="s">
        <v>512</v>
      </c>
      <c r="B33" s="96"/>
      <c r="C33" s="96"/>
      <c r="D33" s="96"/>
      <c r="E33" s="222">
        <f>+superficies!D22</f>
        <v>261.89999999999998</v>
      </c>
      <c r="F33" s="292" t="s">
        <v>511</v>
      </c>
      <c r="G33" s="96"/>
      <c r="H33" s="7"/>
      <c r="I33" s="7"/>
      <c r="J33" s="7"/>
      <c r="K33" s="7"/>
    </row>
    <row r="34" spans="1:11">
      <c r="A34" s="96" t="s">
        <v>227</v>
      </c>
      <c r="B34" s="96"/>
      <c r="C34" s="96"/>
      <c r="D34" s="96"/>
      <c r="E34" s="127">
        <f>+'Enf. convectivo nocturno'!B16</f>
        <v>37</v>
      </c>
      <c r="F34" s="292" t="s">
        <v>515</v>
      </c>
      <c r="G34" s="96"/>
      <c r="H34" s="7"/>
      <c r="I34" s="7"/>
      <c r="J34" s="7"/>
      <c r="K34" s="7"/>
    </row>
    <row r="35" spans="1:11" ht="14.25">
      <c r="A35" s="292" t="s">
        <v>513</v>
      </c>
      <c r="B35" s="96"/>
      <c r="C35" s="96"/>
      <c r="D35" s="96"/>
      <c r="E35" s="127">
        <f>+E34*E33</f>
        <v>9690.2999999999993</v>
      </c>
      <c r="F35" s="292" t="s">
        <v>517</v>
      </c>
      <c r="G35" s="96"/>
      <c r="H35" s="7"/>
      <c r="I35" s="7"/>
      <c r="J35" s="7"/>
      <c r="K35" s="7"/>
    </row>
    <row r="36" spans="1:11">
      <c r="A36" s="292" t="s">
        <v>514</v>
      </c>
      <c r="B36" s="96"/>
      <c r="C36" s="96"/>
      <c r="D36" s="96"/>
      <c r="E36" s="149" t="str">
        <f>VLOOKUP(Lugar!E84,Lugar!A65:C84,2)</f>
        <v>Santa Rosa</v>
      </c>
      <c r="F36" s="96"/>
      <c r="G36" s="96"/>
      <c r="H36" s="7"/>
      <c r="I36" s="7"/>
      <c r="J36" s="7"/>
      <c r="K36" s="7"/>
    </row>
    <row r="37" spans="1:11">
      <c r="A37" s="292" t="s">
        <v>518</v>
      </c>
      <c r="B37" s="96"/>
      <c r="C37" s="96"/>
      <c r="D37" s="96"/>
      <c r="E37" s="225">
        <f>VLOOKUP(Lugar!E84,Lugar!A65:D84,4)</f>
        <v>15</v>
      </c>
      <c r="F37" s="314" t="s">
        <v>516</v>
      </c>
      <c r="G37" s="96"/>
      <c r="H37" s="7"/>
      <c r="I37" s="7"/>
      <c r="J37" s="7"/>
      <c r="K37" s="7"/>
    </row>
    <row r="38" spans="1:11">
      <c r="A38" s="96" t="s">
        <v>527</v>
      </c>
      <c r="B38" s="96"/>
      <c r="C38" s="96"/>
      <c r="D38" s="96"/>
      <c r="E38" s="127" t="str">
        <f>VLOOKUP(Lugar!E84,Lugar!A64:I84,8)</f>
        <v>N</v>
      </c>
      <c r="F38" s="317" t="s">
        <v>522</v>
      </c>
      <c r="G38" s="318"/>
      <c r="H38" s="319"/>
      <c r="I38" s="7"/>
      <c r="J38" s="7"/>
      <c r="K38" s="7"/>
    </row>
    <row r="39" spans="1:11">
      <c r="A39" s="292" t="s">
        <v>475</v>
      </c>
      <c r="B39" s="96"/>
      <c r="C39" s="96"/>
      <c r="D39" s="96"/>
      <c r="E39" s="127">
        <f>VLOOKUP(Lugar!E84,Lugar!A64:I84,7)</f>
        <v>0</v>
      </c>
      <c r="F39" s="317" t="s">
        <v>474</v>
      </c>
      <c r="G39" s="318"/>
      <c r="H39" s="318" t="str">
        <f>VLOOKUP(Lugar!E84,Lugar!A64:I84,8)</f>
        <v>N</v>
      </c>
      <c r="I39" s="7"/>
      <c r="J39" s="7"/>
      <c r="K39" s="7"/>
    </row>
    <row r="40" spans="1:11">
      <c r="A40" s="292" t="s">
        <v>485</v>
      </c>
      <c r="B40" s="96"/>
      <c r="C40" s="96"/>
      <c r="D40" s="96"/>
      <c r="E40" s="96"/>
      <c r="F40" s="96"/>
      <c r="G40" s="96"/>
      <c r="H40" s="7"/>
      <c r="I40" s="7"/>
      <c r="J40" s="7"/>
      <c r="K40" s="7"/>
    </row>
    <row r="41" spans="1:11">
      <c r="A41" s="96"/>
      <c r="B41" s="292" t="s">
        <v>484</v>
      </c>
      <c r="C41" s="292"/>
      <c r="D41" s="96" t="s">
        <v>182</v>
      </c>
      <c r="E41" s="96">
        <f>IF($E$39&lt;22.5,0.4,IF($E$39&lt;40,0.4,IF($E$39&lt;60,0.25,IF($E$39&lt;=80,-0.06,-0.4))))</f>
        <v>0.4</v>
      </c>
      <c r="F41" s="96"/>
      <c r="G41" s="96"/>
      <c r="H41" s="7"/>
      <c r="I41" s="7"/>
      <c r="J41" s="7"/>
      <c r="K41" s="7"/>
    </row>
    <row r="42" spans="1:11">
      <c r="A42" s="96"/>
      <c r="B42" s="292" t="s">
        <v>484</v>
      </c>
      <c r="C42" s="96"/>
      <c r="D42" s="96" t="s">
        <v>228</v>
      </c>
      <c r="E42" s="96">
        <f>IF($E$39&lt;22.5,-0.4,IF($E$39&lt;40,-0.06,IF($E$39&lt;60,0.25,IF($E$39&lt;=80,0.3,0.4))))</f>
        <v>-0.4</v>
      </c>
      <c r="F42" s="96"/>
      <c r="G42" s="96"/>
      <c r="H42" s="7"/>
      <c r="I42" s="7"/>
      <c r="J42" s="7"/>
      <c r="K42" s="7"/>
    </row>
    <row r="43" spans="1:11">
      <c r="A43" s="96"/>
      <c r="B43" s="292" t="s">
        <v>484</v>
      </c>
      <c r="C43" s="96"/>
      <c r="D43" s="96" t="s">
        <v>184</v>
      </c>
      <c r="E43" s="96">
        <f>IF($E$39&lt;22.5,-0.25,IF($E$39&lt;40,-0.4,IF($E$39&lt;60,-0.45,IF($E$39&lt;=80,-0.55,-0.4))))</f>
        <v>-0.25</v>
      </c>
      <c r="F43" s="96"/>
      <c r="G43" s="96"/>
      <c r="H43" s="7"/>
      <c r="I43" s="7"/>
      <c r="J43" s="7"/>
      <c r="K43" s="7"/>
    </row>
    <row r="44" spans="1:11">
      <c r="A44" s="96"/>
      <c r="B44" s="292" t="s">
        <v>484</v>
      </c>
      <c r="C44" s="96"/>
      <c r="D44" s="96" t="s">
        <v>229</v>
      </c>
      <c r="E44" s="96">
        <f>IF($E$39&lt;22.5,-0.4,IF($E$39&lt;40,-0.6,IF($E$39&lt;60,-0.45,IF($E$39&lt;=80,-0.4,-0.25))))</f>
        <v>-0.4</v>
      </c>
      <c r="F44" s="96"/>
      <c r="G44" s="96"/>
      <c r="H44" s="7"/>
      <c r="I44" s="7"/>
      <c r="J44" s="7"/>
      <c r="K44" s="7"/>
    </row>
    <row r="45" spans="1:11">
      <c r="A45" s="96"/>
      <c r="B45" s="292" t="s">
        <v>486</v>
      </c>
      <c r="C45" s="96"/>
      <c r="D45" s="96" t="s">
        <v>186</v>
      </c>
      <c r="E45" s="96">
        <v>-0.3</v>
      </c>
      <c r="F45" s="292" t="s">
        <v>580</v>
      </c>
      <c r="G45" s="96"/>
      <c r="H45" s="7"/>
      <c r="I45" s="7"/>
      <c r="J45" s="7"/>
      <c r="K45" s="7"/>
    </row>
    <row r="46" spans="1:11">
      <c r="A46" s="96"/>
      <c r="B46" s="96"/>
      <c r="C46" s="96"/>
      <c r="D46" s="96"/>
      <c r="E46" s="96"/>
      <c r="F46" s="96"/>
      <c r="G46" s="96"/>
      <c r="H46" s="7"/>
      <c r="I46" s="7"/>
      <c r="J46" s="7"/>
      <c r="K46" s="7"/>
    </row>
    <row r="47" spans="1:11">
      <c r="A47" s="96"/>
      <c r="B47" s="96"/>
      <c r="C47" s="96"/>
      <c r="D47" s="96"/>
      <c r="E47" s="292" t="s">
        <v>523</v>
      </c>
      <c r="F47" s="96"/>
      <c r="G47" s="96"/>
      <c r="H47" s="7"/>
      <c r="I47" s="292" t="s">
        <v>524</v>
      </c>
      <c r="J47" s="7"/>
      <c r="K47" s="7"/>
    </row>
    <row r="48" spans="1:11">
      <c r="A48" s="96"/>
      <c r="B48" s="96"/>
      <c r="C48" s="96"/>
      <c r="D48" s="96"/>
      <c r="E48" s="96" t="s">
        <v>526</v>
      </c>
      <c r="F48" s="96"/>
      <c r="G48" s="96"/>
      <c r="H48" s="7"/>
      <c r="I48" s="7" t="s">
        <v>525</v>
      </c>
      <c r="J48" s="7"/>
      <c r="K48" s="7"/>
    </row>
    <row r="49" spans="1:11">
      <c r="A49" s="96"/>
      <c r="B49" s="96"/>
      <c r="C49" s="96"/>
      <c r="D49" s="96"/>
      <c r="E49" s="96" t="str">
        <f>+F39</f>
        <v xml:space="preserve">   Lado "a" sería:</v>
      </c>
      <c r="F49" s="96"/>
      <c r="G49" s="96" t="str">
        <f>+H39</f>
        <v>N</v>
      </c>
      <c r="H49" s="96"/>
      <c r="I49" s="7"/>
      <c r="J49" s="7"/>
      <c r="K49" s="7"/>
    </row>
    <row r="50" spans="1:11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</row>
    <row r="51" spans="1:11">
      <c r="A51" s="96"/>
      <c r="B51" s="96"/>
      <c r="C51" s="96"/>
      <c r="D51" s="96"/>
      <c r="E51" s="292" t="s">
        <v>476</v>
      </c>
      <c r="F51" s="96"/>
      <c r="G51" s="140" t="s">
        <v>477</v>
      </c>
      <c r="H51" s="7">
        <f>+E41-E43</f>
        <v>0.65</v>
      </c>
      <c r="I51" s="140" t="s">
        <v>487</v>
      </c>
      <c r="J51" s="7"/>
      <c r="K51" s="7"/>
    </row>
    <row r="52" spans="1:11">
      <c r="A52" s="96"/>
      <c r="B52" s="96"/>
      <c r="C52" s="96"/>
      <c r="D52" s="96"/>
      <c r="E52" s="292" t="s">
        <v>482</v>
      </c>
      <c r="F52" s="96"/>
      <c r="G52" s="140" t="s">
        <v>478</v>
      </c>
      <c r="H52" s="7">
        <f>+E41-E42</f>
        <v>0.8</v>
      </c>
      <c r="I52" s="140" t="s">
        <v>488</v>
      </c>
      <c r="J52" s="7"/>
      <c r="K52" s="7"/>
    </row>
    <row r="53" spans="1:11">
      <c r="A53" s="96"/>
      <c r="B53" s="96"/>
      <c r="C53" s="96"/>
      <c r="D53" s="96"/>
      <c r="E53" s="292" t="s">
        <v>483</v>
      </c>
      <c r="F53" s="96"/>
      <c r="G53" s="140" t="s">
        <v>479</v>
      </c>
      <c r="H53" s="7">
        <f>+E41-E44</f>
        <v>0.8</v>
      </c>
      <c r="I53" s="140" t="s">
        <v>489</v>
      </c>
      <c r="J53" s="7"/>
      <c r="K53" s="7"/>
    </row>
    <row r="54" spans="1:11">
      <c r="A54" s="96"/>
      <c r="B54" s="96"/>
      <c r="C54" s="96"/>
      <c r="D54" s="96"/>
      <c r="E54" s="292" t="s">
        <v>481</v>
      </c>
      <c r="F54" s="96"/>
      <c r="G54" s="140" t="s">
        <v>480</v>
      </c>
      <c r="H54" s="7">
        <f>+E41-E45</f>
        <v>0.7</v>
      </c>
      <c r="I54" s="140" t="s">
        <v>490</v>
      </c>
      <c r="J54" s="7"/>
      <c r="K54" s="7"/>
    </row>
    <row r="55" spans="1:11">
      <c r="A55" s="96"/>
      <c r="B55" s="96"/>
      <c r="C55" s="96"/>
      <c r="D55" s="96"/>
      <c r="E55" s="96"/>
      <c r="F55" s="96"/>
      <c r="G55" s="96"/>
      <c r="H55" s="7"/>
      <c r="I55" s="7"/>
      <c r="J55" s="7"/>
      <c r="K55" s="7"/>
    </row>
    <row r="56" spans="1:11">
      <c r="A56" s="96"/>
      <c r="B56" s="96"/>
      <c r="C56" s="96"/>
      <c r="D56" s="96"/>
      <c r="E56" s="96"/>
      <c r="F56" s="96"/>
      <c r="G56" s="96"/>
      <c r="H56" s="7"/>
      <c r="I56" s="7"/>
      <c r="J56" s="7"/>
      <c r="K56" s="7"/>
    </row>
    <row r="57" spans="1:11">
      <c r="A57" s="96"/>
      <c r="B57" s="96"/>
      <c r="C57" s="96"/>
      <c r="D57" s="96"/>
      <c r="E57" s="96"/>
      <c r="F57" s="96"/>
      <c r="G57" s="96"/>
      <c r="H57" s="7"/>
      <c r="I57" s="7"/>
      <c r="J57" s="7"/>
      <c r="K57" s="7"/>
    </row>
    <row r="58" spans="1:11">
      <c r="A58" s="96"/>
      <c r="B58" s="96"/>
      <c r="C58" s="96"/>
      <c r="D58" s="96"/>
      <c r="E58" s="96"/>
      <c r="F58" s="96"/>
      <c r="G58" s="96"/>
      <c r="H58" s="7"/>
      <c r="I58" s="7"/>
      <c r="J58" s="7"/>
      <c r="K58" s="7"/>
    </row>
    <row r="59" spans="1:11">
      <c r="A59" s="96"/>
      <c r="B59" s="96"/>
      <c r="C59" s="96"/>
      <c r="D59" s="96"/>
      <c r="E59" s="96"/>
      <c r="F59" s="96"/>
      <c r="G59" s="96"/>
      <c r="H59" s="7"/>
      <c r="I59" s="7"/>
      <c r="J59" s="7"/>
      <c r="K59" s="7"/>
    </row>
    <row r="60" spans="1:11">
      <c r="A60" s="96" t="s">
        <v>230</v>
      </c>
      <c r="B60" s="96"/>
      <c r="C60" s="96"/>
      <c r="D60" s="96"/>
      <c r="E60" s="96"/>
      <c r="F60" s="96"/>
      <c r="G60" s="96"/>
      <c r="H60" s="7"/>
      <c r="I60" s="7"/>
      <c r="J60" s="7"/>
      <c r="K60" s="7"/>
    </row>
    <row r="61" spans="1:11">
      <c r="A61" s="96" t="s">
        <v>231</v>
      </c>
      <c r="B61" s="96"/>
      <c r="C61" s="96"/>
      <c r="D61" s="96"/>
      <c r="E61" s="90">
        <v>0.7</v>
      </c>
      <c r="F61" s="96"/>
      <c r="G61" s="292" t="s">
        <v>492</v>
      </c>
      <c r="H61" s="7"/>
      <c r="I61" s="7"/>
      <c r="J61" s="7"/>
      <c r="K61" s="7"/>
    </row>
    <row r="62" spans="1:11">
      <c r="A62" s="96"/>
      <c r="B62" s="96"/>
      <c r="C62" s="96"/>
      <c r="D62" s="96"/>
      <c r="E62" s="292" t="s">
        <v>2</v>
      </c>
      <c r="F62" s="96"/>
      <c r="G62" s="292" t="s">
        <v>491</v>
      </c>
      <c r="H62" s="7"/>
      <c r="I62" s="7"/>
      <c r="J62" s="7"/>
      <c r="K62" s="7"/>
    </row>
    <row r="63" spans="1:11">
      <c r="A63" s="292" t="s">
        <v>493</v>
      </c>
      <c r="B63" s="96"/>
      <c r="C63" s="96"/>
      <c r="D63" s="96"/>
      <c r="E63" s="96"/>
      <c r="F63" s="96"/>
      <c r="G63" s="96"/>
      <c r="H63" s="7"/>
      <c r="I63" s="7"/>
      <c r="J63" s="7"/>
      <c r="K63" s="7"/>
    </row>
    <row r="64" spans="1:11">
      <c r="A64" s="96"/>
      <c r="B64" s="96"/>
      <c r="C64" s="96"/>
      <c r="D64" s="96"/>
      <c r="E64" s="96"/>
      <c r="F64" s="96"/>
      <c r="G64" s="96"/>
      <c r="H64" s="7"/>
      <c r="I64" s="7"/>
      <c r="J64" s="7"/>
      <c r="K64" s="7"/>
    </row>
    <row r="65" spans="1:11">
      <c r="A65" s="96"/>
      <c r="B65" s="96" t="s">
        <v>468</v>
      </c>
      <c r="C65" s="96"/>
      <c r="D65" s="96"/>
      <c r="E65" s="90">
        <v>12</v>
      </c>
      <c r="F65" s="96" t="s">
        <v>470</v>
      </c>
      <c r="G65" s="292" t="s">
        <v>508</v>
      </c>
      <c r="H65" s="7"/>
      <c r="I65" s="7"/>
      <c r="J65" s="7"/>
      <c r="K65" s="7"/>
    </row>
    <row r="66" spans="1:11">
      <c r="A66" s="96"/>
      <c r="B66" s="96" t="s">
        <v>469</v>
      </c>
      <c r="C66" s="96"/>
      <c r="D66" s="96"/>
      <c r="E66" s="90">
        <v>6</v>
      </c>
      <c r="F66" s="96" t="s">
        <v>470</v>
      </c>
      <c r="G66" s="96"/>
      <c r="H66" s="7"/>
      <c r="I66" s="7"/>
      <c r="J66" s="7"/>
      <c r="K66" s="7"/>
    </row>
    <row r="67" spans="1:11">
      <c r="A67" s="96"/>
      <c r="B67" s="96" t="s">
        <v>232</v>
      </c>
      <c r="C67" s="96"/>
      <c r="D67" s="96"/>
      <c r="E67" s="96">
        <f>+E65/E66</f>
        <v>2</v>
      </c>
      <c r="F67" s="96" t="s">
        <v>2</v>
      </c>
      <c r="G67" s="96"/>
      <c r="H67" s="7"/>
      <c r="I67" s="7"/>
      <c r="J67" s="7"/>
      <c r="K67" s="7"/>
    </row>
    <row r="68" spans="1:11">
      <c r="A68" s="96"/>
      <c r="B68" s="96" t="s">
        <v>233</v>
      </c>
      <c r="C68" s="96"/>
      <c r="D68" s="96"/>
      <c r="E68" s="96">
        <f>IF(E67&lt;=6,0.0304+0.1689*E67,0.0304+0.1689*6)</f>
        <v>0.36819999999999997</v>
      </c>
      <c r="F68" s="96" t="s">
        <v>2</v>
      </c>
      <c r="G68" s="96"/>
      <c r="H68" s="7"/>
      <c r="I68" s="7"/>
      <c r="J68" s="7"/>
      <c r="K68" s="7"/>
    </row>
    <row r="69" spans="1:11">
      <c r="A69" s="96"/>
      <c r="B69" s="96" t="s">
        <v>234</v>
      </c>
      <c r="C69" s="96"/>
      <c r="D69" s="96"/>
      <c r="E69" s="96">
        <f>IF(E67&lt;=6,0.0421+0.2264*E67,0.0421+0.2264*6)</f>
        <v>0.49490000000000001</v>
      </c>
      <c r="F69" s="96"/>
      <c r="G69" s="96"/>
      <c r="H69" s="7"/>
      <c r="I69" s="7"/>
      <c r="J69" s="7"/>
      <c r="K69" s="7"/>
    </row>
    <row r="70" spans="1:11">
      <c r="A70" s="96"/>
      <c r="B70" s="96"/>
      <c r="C70" s="96"/>
      <c r="D70" s="96"/>
      <c r="E70" s="96"/>
      <c r="F70" s="96"/>
      <c r="G70" s="96"/>
      <c r="H70" s="7"/>
      <c r="I70" s="7"/>
      <c r="J70" s="7"/>
      <c r="K70" s="7"/>
    </row>
    <row r="71" spans="1:11">
      <c r="A71" s="96" t="s">
        <v>235</v>
      </c>
      <c r="B71" s="96"/>
      <c r="C71" s="96"/>
      <c r="D71" s="96"/>
      <c r="E71" s="96"/>
      <c r="F71" s="96"/>
      <c r="G71" s="96"/>
      <c r="H71" s="7"/>
      <c r="I71" s="7"/>
      <c r="J71" s="7"/>
      <c r="K71" s="7"/>
    </row>
    <row r="72" spans="1:11">
      <c r="A72" s="96"/>
      <c r="B72" s="96" t="s">
        <v>236</v>
      </c>
      <c r="C72" s="96"/>
      <c r="D72" s="96"/>
      <c r="E72" s="96">
        <f>+E68*E61</f>
        <v>0.25773999999999997</v>
      </c>
      <c r="F72" s="96"/>
      <c r="G72" s="96"/>
      <c r="H72" s="7"/>
      <c r="I72" s="7"/>
      <c r="J72" s="7"/>
      <c r="K72" s="7"/>
    </row>
    <row r="73" spans="1:11">
      <c r="A73" s="96"/>
      <c r="B73" s="96" t="s">
        <v>237</v>
      </c>
      <c r="C73" s="96"/>
      <c r="D73" s="96"/>
      <c r="E73" s="96">
        <f>+E69*E61</f>
        <v>0.34642999999999996</v>
      </c>
      <c r="F73" s="96"/>
      <c r="G73" s="96"/>
      <c r="H73" s="7"/>
      <c r="I73" s="7"/>
      <c r="J73" s="7"/>
      <c r="K73" s="7"/>
    </row>
    <row r="74" spans="1:11">
      <c r="A74" s="96"/>
      <c r="B74" s="96"/>
      <c r="C74" s="96"/>
      <c r="D74" s="96"/>
      <c r="E74" s="96"/>
      <c r="F74" s="96"/>
      <c r="G74" s="96"/>
      <c r="H74" s="7"/>
      <c r="I74" s="7"/>
      <c r="J74" s="7"/>
      <c r="K74" s="7"/>
    </row>
    <row r="75" spans="1:11">
      <c r="A75" s="96" t="s">
        <v>238</v>
      </c>
      <c r="B75" s="96"/>
      <c r="C75" s="96"/>
      <c r="D75" s="96"/>
      <c r="E75" s="96"/>
      <c r="F75" s="127"/>
      <c r="G75" s="127"/>
      <c r="H75" s="7"/>
      <c r="I75" s="7"/>
      <c r="J75" s="7"/>
      <c r="K75" s="7"/>
    </row>
    <row r="76" spans="1:11">
      <c r="A76" s="96"/>
      <c r="B76" s="96"/>
      <c r="C76" s="96"/>
      <c r="D76" s="96" t="s">
        <v>471</v>
      </c>
      <c r="E76" s="96"/>
      <c r="F76" s="291" t="s">
        <v>494</v>
      </c>
      <c r="G76" s="291" t="s">
        <v>495</v>
      </c>
      <c r="H76" s="7"/>
      <c r="I76" s="7"/>
      <c r="J76" s="7"/>
      <c r="K76" s="7"/>
    </row>
    <row r="77" spans="1:11">
      <c r="A77" s="96"/>
      <c r="B77" s="96"/>
      <c r="C77" s="96"/>
      <c r="D77" s="96"/>
      <c r="E77" s="96"/>
      <c r="F77" s="127"/>
      <c r="G77" s="127"/>
      <c r="H77" s="7"/>
      <c r="I77" s="7"/>
      <c r="J77" s="7"/>
      <c r="K77" s="7"/>
    </row>
    <row r="78" spans="1:11">
      <c r="A78" s="96"/>
      <c r="B78" s="96" t="s">
        <v>239</v>
      </c>
      <c r="C78" s="96"/>
      <c r="D78" s="96"/>
      <c r="E78" s="96"/>
      <c r="F78" s="127">
        <v>1.3</v>
      </c>
      <c r="G78" s="127">
        <v>0.98</v>
      </c>
      <c r="H78" s="7"/>
      <c r="I78" s="7"/>
      <c r="J78" s="7"/>
      <c r="K78" s="7"/>
    </row>
    <row r="79" spans="1:11">
      <c r="A79" s="96"/>
      <c r="B79" s="96" t="s">
        <v>240</v>
      </c>
      <c r="C79" s="96"/>
      <c r="D79" s="96"/>
      <c r="E79" s="96"/>
      <c r="F79" s="127">
        <v>1</v>
      </c>
      <c r="G79" s="127">
        <v>0.75</v>
      </c>
      <c r="H79" s="7"/>
      <c r="I79" s="7"/>
      <c r="J79" s="7"/>
      <c r="K79" s="7"/>
    </row>
    <row r="80" spans="1:11">
      <c r="A80" s="96"/>
      <c r="B80" s="96" t="s">
        <v>241</v>
      </c>
      <c r="C80" s="96"/>
      <c r="D80" s="96"/>
      <c r="E80" s="96"/>
      <c r="F80" s="127">
        <v>0.85</v>
      </c>
      <c r="G80" s="127">
        <v>0.64</v>
      </c>
      <c r="H80" s="7"/>
      <c r="I80" s="7"/>
      <c r="J80" s="7"/>
      <c r="K80" s="7"/>
    </row>
    <row r="81" spans="1:11">
      <c r="A81" s="96"/>
      <c r="B81" s="96" t="s">
        <v>242</v>
      </c>
      <c r="C81" s="96"/>
      <c r="D81" s="96"/>
      <c r="E81" s="96"/>
      <c r="F81" s="127">
        <v>0.67</v>
      </c>
      <c r="G81" s="127">
        <v>0.5</v>
      </c>
      <c r="H81" s="7"/>
      <c r="I81" s="7"/>
      <c r="J81" s="7"/>
      <c r="K81" s="7"/>
    </row>
    <row r="82" spans="1:11">
      <c r="A82" s="96"/>
      <c r="B82" s="96" t="s">
        <v>243</v>
      </c>
      <c r="C82" s="96"/>
      <c r="D82" s="96"/>
      <c r="E82" s="96"/>
      <c r="F82" s="127">
        <v>0.47</v>
      </c>
      <c r="G82" s="127">
        <v>0.35</v>
      </c>
      <c r="H82" s="7"/>
      <c r="I82" s="7"/>
      <c r="J82" s="7"/>
      <c r="K82" s="7"/>
    </row>
    <row r="83" spans="1:11">
      <c r="A83" s="96"/>
      <c r="B83" s="96"/>
      <c r="C83" s="96"/>
      <c r="D83" s="96"/>
      <c r="E83" s="96"/>
      <c r="F83" s="96"/>
      <c r="G83" s="96"/>
      <c r="H83" s="7"/>
      <c r="I83" s="7"/>
      <c r="J83" s="7"/>
      <c r="K83" s="7"/>
    </row>
    <row r="84" spans="1:11">
      <c r="A84" s="96"/>
      <c r="B84" s="96" t="s">
        <v>244</v>
      </c>
      <c r="C84" s="96" t="s">
        <v>2</v>
      </c>
      <c r="D84" s="90">
        <v>0.64</v>
      </c>
      <c r="E84" s="96"/>
      <c r="F84" s="96"/>
      <c r="G84" s="96"/>
      <c r="H84" s="7"/>
      <c r="I84" s="7"/>
      <c r="J84" s="7"/>
      <c r="K84" s="7"/>
    </row>
    <row r="85" spans="1:11">
      <c r="A85" s="96"/>
      <c r="B85" s="96"/>
      <c r="C85" s="96"/>
      <c r="D85" s="96"/>
      <c r="E85" s="96"/>
      <c r="F85" s="96"/>
      <c r="G85" s="96"/>
      <c r="H85" s="7"/>
      <c r="I85" s="7"/>
      <c r="J85" s="7"/>
      <c r="K85" s="7"/>
    </row>
    <row r="86" spans="1:11">
      <c r="A86" s="96" t="s">
        <v>245</v>
      </c>
      <c r="B86" s="96"/>
      <c r="C86" s="96"/>
      <c r="D86" s="96"/>
      <c r="E86" s="96"/>
      <c r="F86" s="96"/>
      <c r="G86" s="96"/>
      <c r="H86" s="7"/>
      <c r="I86" s="7"/>
      <c r="J86" s="7"/>
      <c r="K86" s="7"/>
    </row>
    <row r="87" spans="1:11">
      <c r="A87" s="96"/>
      <c r="B87" s="96"/>
      <c r="C87" s="96"/>
      <c r="D87" s="96">
        <f>+E37*D84*1000</f>
        <v>9600</v>
      </c>
      <c r="E87" s="96" t="s">
        <v>255</v>
      </c>
      <c r="F87" s="96"/>
      <c r="G87" s="96"/>
      <c r="H87" s="7"/>
      <c r="I87" s="7"/>
      <c r="J87" s="7"/>
      <c r="K87" s="7"/>
    </row>
    <row r="88" spans="1:11">
      <c r="A88" s="96"/>
      <c r="B88" s="96"/>
      <c r="C88" s="96"/>
      <c r="D88" s="96"/>
      <c r="E88" s="96"/>
      <c r="F88" s="96"/>
      <c r="G88" s="96"/>
      <c r="H88" s="7"/>
      <c r="I88" s="7"/>
      <c r="J88" s="7"/>
      <c r="K88" s="7"/>
    </row>
    <row r="89" spans="1:11">
      <c r="A89" s="96" t="s">
        <v>246</v>
      </c>
      <c r="B89" s="96"/>
      <c r="C89" s="96"/>
      <c r="D89" s="96"/>
      <c r="E89" s="96"/>
      <c r="F89" s="96"/>
      <c r="G89" s="96"/>
      <c r="H89" s="7"/>
      <c r="I89" s="7"/>
      <c r="J89" s="7"/>
      <c r="K89" s="7"/>
    </row>
    <row r="90" spans="1:11">
      <c r="A90" s="96"/>
      <c r="B90" s="96"/>
      <c r="C90" s="96"/>
      <c r="D90" s="96"/>
      <c r="E90" s="96"/>
      <c r="F90" s="96"/>
      <c r="G90" s="96"/>
      <c r="H90" s="7"/>
      <c r="I90" s="7"/>
      <c r="J90" s="7"/>
      <c r="K90" s="7"/>
    </row>
    <row r="91" spans="1:11">
      <c r="A91" s="96" t="s">
        <v>247</v>
      </c>
      <c r="B91" s="96"/>
      <c r="C91" s="96"/>
      <c r="D91" s="98">
        <f>1.56*$E$35/($D$87*SQRT(E72))</f>
        <v>3.1016991834643526</v>
      </c>
      <c r="E91" s="96" t="s">
        <v>27</v>
      </c>
      <c r="F91" s="96"/>
      <c r="G91" s="96"/>
      <c r="H91" s="7"/>
      <c r="I91" s="7"/>
      <c r="J91" s="7"/>
      <c r="K91" s="7"/>
    </row>
    <row r="92" spans="1:11">
      <c r="A92" s="292" t="s">
        <v>576</v>
      </c>
      <c r="B92" s="96"/>
      <c r="C92" s="96"/>
      <c r="D92" s="98">
        <f>1.56*$E$35/($D$87*SQRT(E73))</f>
        <v>2.6753637661409031</v>
      </c>
      <c r="E92" s="96" t="s">
        <v>27</v>
      </c>
      <c r="F92" s="96"/>
      <c r="G92" s="96"/>
      <c r="H92" s="7"/>
      <c r="I92" s="7"/>
      <c r="J92" s="7"/>
      <c r="K92" s="7"/>
    </row>
    <row r="93" spans="1:11" ht="13.5" thickBot="1">
      <c r="A93" s="96"/>
      <c r="B93" s="96"/>
      <c r="C93" s="96"/>
      <c r="D93" s="98"/>
      <c r="E93" s="96"/>
      <c r="F93" s="96"/>
      <c r="G93" s="96"/>
      <c r="H93" s="7"/>
      <c r="I93" s="7"/>
      <c r="J93" s="7"/>
      <c r="K93" s="7"/>
    </row>
    <row r="94" spans="1:11">
      <c r="A94" s="270" t="s">
        <v>498</v>
      </c>
      <c r="B94" s="263"/>
      <c r="C94" s="263"/>
      <c r="D94" s="271"/>
      <c r="E94" s="264"/>
      <c r="F94" s="96"/>
      <c r="G94" s="96"/>
      <c r="H94" s="7"/>
      <c r="I94" s="7"/>
      <c r="J94" s="7"/>
      <c r="K94" s="7"/>
    </row>
    <row r="95" spans="1:11">
      <c r="A95" s="265" t="s">
        <v>247</v>
      </c>
      <c r="B95" s="104"/>
      <c r="C95" s="104"/>
      <c r="D95" s="351">
        <f>+D91*1.41</f>
        <v>4.3733958486847371</v>
      </c>
      <c r="E95" s="266" t="s">
        <v>27</v>
      </c>
      <c r="F95" s="96"/>
      <c r="G95" s="96"/>
      <c r="H95" s="7"/>
      <c r="I95" s="7"/>
      <c r="J95" s="7"/>
      <c r="K95" s="7"/>
    </row>
    <row r="96" spans="1:11" ht="13.5" thickBot="1">
      <c r="A96" s="366" t="s">
        <v>576</v>
      </c>
      <c r="B96" s="274"/>
      <c r="C96" s="274"/>
      <c r="D96" s="352">
        <f>+D92*1.41</f>
        <v>3.7722629102586733</v>
      </c>
      <c r="E96" s="269" t="s">
        <v>27</v>
      </c>
      <c r="F96" s="96"/>
      <c r="G96" s="96"/>
      <c r="H96" s="7"/>
      <c r="I96" s="7"/>
      <c r="J96" s="7"/>
      <c r="K96" s="7"/>
    </row>
    <row r="97" spans="1:11">
      <c r="A97" s="96"/>
      <c r="B97" s="96"/>
      <c r="C97" s="96"/>
      <c r="D97" s="98"/>
      <c r="E97" s="96"/>
      <c r="F97" s="96"/>
      <c r="G97" s="96"/>
      <c r="H97" s="7"/>
      <c r="I97" s="7"/>
      <c r="J97" s="7"/>
      <c r="K97" s="7"/>
    </row>
    <row r="98" spans="1:11">
      <c r="A98" s="292" t="s">
        <v>499</v>
      </c>
      <c r="B98" s="96"/>
      <c r="C98" s="96"/>
      <c r="D98" s="98"/>
      <c r="E98" s="96"/>
      <c r="F98" s="96"/>
      <c r="G98" s="96"/>
      <c r="H98" s="7"/>
      <c r="I98" s="7"/>
      <c r="J98" s="7"/>
      <c r="K98" s="7"/>
    </row>
    <row r="99" spans="1:11">
      <c r="A99" s="292" t="s">
        <v>500</v>
      </c>
      <c r="B99" s="96"/>
      <c r="C99" s="96"/>
      <c r="D99" s="98"/>
      <c r="E99" s="96"/>
      <c r="F99" s="96"/>
      <c r="G99" s="96"/>
      <c r="H99" s="7"/>
      <c r="I99" s="7"/>
      <c r="J99" s="7"/>
      <c r="K99" s="7"/>
    </row>
    <row r="100" spans="1:11">
      <c r="A100" s="292" t="s">
        <v>501</v>
      </c>
      <c r="B100" s="96"/>
      <c r="C100" s="96"/>
      <c r="D100" s="98"/>
      <c r="E100" s="96"/>
      <c r="F100" s="96"/>
      <c r="G100" s="96"/>
      <c r="H100" s="7"/>
      <c r="I100" s="7"/>
      <c r="J100" s="7"/>
      <c r="K100" s="7"/>
    </row>
    <row r="101" spans="1:11">
      <c r="A101" s="96"/>
      <c r="B101" s="96"/>
      <c r="C101" s="96"/>
      <c r="D101" s="98"/>
      <c r="E101" s="96"/>
      <c r="F101" s="96"/>
      <c r="G101" s="96"/>
      <c r="H101" s="7"/>
      <c r="I101" s="7"/>
      <c r="J101" s="7"/>
      <c r="K101" s="7"/>
    </row>
    <row r="102" spans="1:11">
      <c r="A102" s="292" t="s">
        <v>502</v>
      </c>
      <c r="B102" s="96"/>
      <c r="C102" s="96"/>
      <c r="D102" s="98"/>
      <c r="E102" s="96"/>
      <c r="F102" s="96"/>
      <c r="G102" s="96"/>
      <c r="H102" s="7"/>
      <c r="I102" s="7"/>
      <c r="J102" s="7"/>
      <c r="K102" s="7"/>
    </row>
    <row r="103" spans="1:11">
      <c r="A103" s="96" t="s">
        <v>247</v>
      </c>
      <c r="B103" s="96"/>
      <c r="C103" s="96"/>
      <c r="D103" s="98">
        <f>+D95*2</f>
        <v>8.7467916973694742</v>
      </c>
      <c r="E103" s="96" t="s">
        <v>27</v>
      </c>
      <c r="F103" s="96"/>
      <c r="G103" s="96"/>
      <c r="H103" s="7"/>
      <c r="I103" s="7"/>
      <c r="J103" s="7"/>
      <c r="K103" s="7"/>
    </row>
    <row r="104" spans="1:11">
      <c r="A104" s="292" t="s">
        <v>576</v>
      </c>
      <c r="B104" s="96"/>
      <c r="C104" s="96"/>
      <c r="D104" s="98">
        <f>+D96*2</f>
        <v>7.5445258205173467</v>
      </c>
      <c r="E104" s="96" t="s">
        <v>27</v>
      </c>
      <c r="F104" s="96"/>
      <c r="G104" s="96"/>
      <c r="H104" s="7"/>
      <c r="I104" s="7"/>
      <c r="J104" s="7"/>
      <c r="K104" s="7"/>
    </row>
    <row r="105" spans="1:11">
      <c r="A105" s="96"/>
      <c r="B105" s="96"/>
      <c r="C105" s="96"/>
      <c r="D105" s="96"/>
      <c r="E105" s="96"/>
      <c r="F105" s="96"/>
      <c r="G105" s="96"/>
      <c r="H105" s="7"/>
      <c r="I105" s="7"/>
      <c r="J105" s="7"/>
      <c r="K105" s="7"/>
    </row>
    <row r="106" spans="1:11">
      <c r="A106" s="96" t="s">
        <v>320</v>
      </c>
      <c r="B106" s="96"/>
      <c r="C106" s="96"/>
      <c r="D106" s="96"/>
      <c r="E106" s="96"/>
      <c r="F106" s="96"/>
      <c r="G106" s="96"/>
      <c r="H106" s="7"/>
      <c r="I106" s="7"/>
      <c r="J106" s="7"/>
      <c r="K106" s="7"/>
    </row>
    <row r="107" spans="1:11">
      <c r="A107" s="96" t="s">
        <v>321</v>
      </c>
      <c r="B107" s="96"/>
      <c r="C107" s="96"/>
      <c r="D107" s="96"/>
      <c r="E107" s="96"/>
      <c r="F107" s="96"/>
      <c r="G107" s="96"/>
      <c r="H107" s="7"/>
      <c r="I107" s="7"/>
      <c r="J107" s="7"/>
      <c r="K107" s="7"/>
    </row>
    <row r="108" spans="1:11">
      <c r="A108" s="96"/>
      <c r="B108" s="96"/>
      <c r="C108" s="96"/>
      <c r="D108" s="96"/>
      <c r="E108" s="96"/>
      <c r="F108" s="96"/>
      <c r="G108" s="96"/>
      <c r="H108" s="7"/>
      <c r="I108" s="7"/>
      <c r="J108" s="7"/>
      <c r="K108" s="7"/>
    </row>
    <row r="109" spans="1:11">
      <c r="A109" s="96" t="s">
        <v>248</v>
      </c>
      <c r="B109" s="96"/>
      <c r="C109" s="96"/>
      <c r="D109" s="96"/>
      <c r="E109" s="96"/>
      <c r="F109" s="96"/>
      <c r="G109" s="96"/>
      <c r="H109" s="7"/>
      <c r="I109" s="7"/>
      <c r="J109" s="7"/>
      <c r="K109" s="7"/>
    </row>
    <row r="110" spans="1:11">
      <c r="A110" s="96"/>
      <c r="B110" s="96"/>
      <c r="C110" s="96"/>
      <c r="D110" s="96"/>
      <c r="E110" s="96"/>
      <c r="F110" s="96"/>
      <c r="G110" s="96"/>
      <c r="H110" s="7"/>
      <c r="I110" s="7"/>
      <c r="J110" s="7"/>
      <c r="K110" s="7"/>
    </row>
    <row r="111" spans="1:11">
      <c r="A111" s="96" t="s">
        <v>249</v>
      </c>
      <c r="B111" s="96"/>
      <c r="C111" s="96"/>
      <c r="D111" s="96"/>
      <c r="E111" s="96"/>
      <c r="F111" s="96"/>
      <c r="G111" s="96"/>
      <c r="H111" s="7"/>
      <c r="I111" s="7"/>
      <c r="J111" s="7"/>
      <c r="K111" s="7"/>
    </row>
    <row r="112" spans="1:11">
      <c r="A112" s="96"/>
      <c r="B112" s="96"/>
      <c r="C112" s="96"/>
      <c r="D112" s="96"/>
      <c r="E112" s="96"/>
      <c r="F112" s="96"/>
      <c r="G112" s="96"/>
      <c r="H112" s="7"/>
      <c r="I112" s="7"/>
      <c r="J112" s="7"/>
      <c r="K112" s="7"/>
    </row>
    <row r="113" spans="1:11">
      <c r="A113" s="96" t="s">
        <v>250</v>
      </c>
      <c r="B113" s="96"/>
      <c r="C113" s="96">
        <v>1</v>
      </c>
      <c r="D113" s="96"/>
      <c r="E113" s="96"/>
      <c r="F113" s="96"/>
      <c r="G113" s="96"/>
      <c r="H113" s="7"/>
      <c r="I113" s="7"/>
      <c r="J113" s="7"/>
      <c r="K113" s="7"/>
    </row>
    <row r="114" spans="1:11">
      <c r="A114" s="96" t="s">
        <v>251</v>
      </c>
      <c r="B114" s="96"/>
      <c r="C114" s="96">
        <v>0.8</v>
      </c>
      <c r="D114" s="96"/>
      <c r="E114" s="96"/>
      <c r="F114" s="96"/>
      <c r="G114" s="96"/>
      <c r="H114" s="7"/>
      <c r="I114" s="7"/>
      <c r="J114" s="7"/>
      <c r="K114" s="7"/>
    </row>
    <row r="115" spans="1:11">
      <c r="A115" s="96" t="s">
        <v>252</v>
      </c>
      <c r="B115" s="96"/>
      <c r="C115" s="96">
        <v>0.6</v>
      </c>
      <c r="D115" s="96"/>
      <c r="E115" s="96"/>
      <c r="F115" s="96"/>
      <c r="G115" s="96"/>
      <c r="H115" s="7"/>
      <c r="I115" s="7"/>
      <c r="J115" s="7"/>
      <c r="K115" s="7"/>
    </row>
    <row r="116" spans="1:11">
      <c r="A116" s="96"/>
      <c r="B116" s="96"/>
      <c r="C116" s="96"/>
      <c r="D116" s="96"/>
      <c r="E116" s="96"/>
      <c r="F116" s="96"/>
      <c r="G116" s="96"/>
      <c r="H116" s="7"/>
      <c r="I116" s="7"/>
      <c r="J116" s="7"/>
      <c r="K116" s="7"/>
    </row>
    <row r="117" spans="1:11">
      <c r="A117" s="292" t="s">
        <v>507</v>
      </c>
      <c r="B117" s="96"/>
      <c r="C117" s="96"/>
      <c r="D117" s="96"/>
      <c r="E117" s="96"/>
      <c r="F117" s="96"/>
      <c r="G117" s="126" t="s">
        <v>2</v>
      </c>
      <c r="H117" s="126"/>
      <c r="I117" s="7"/>
      <c r="J117" s="7"/>
      <c r="K117" s="7"/>
    </row>
    <row r="118" spans="1:11" ht="13.5" thickBot="1">
      <c r="A118" s="292"/>
      <c r="B118" s="96"/>
      <c r="C118" s="96"/>
      <c r="D118" s="96"/>
      <c r="E118" s="96"/>
      <c r="F118" s="96"/>
      <c r="G118" s="126"/>
      <c r="H118" s="126"/>
      <c r="I118" s="7"/>
      <c r="J118" s="7"/>
      <c r="K118" s="7"/>
    </row>
    <row r="119" spans="1:11">
      <c r="A119" s="292"/>
      <c r="B119" s="96"/>
      <c r="C119" s="270" t="s">
        <v>504</v>
      </c>
      <c r="D119" s="264"/>
      <c r="E119" s="270" t="s">
        <v>505</v>
      </c>
      <c r="F119" s="300"/>
      <c r="G119" s="301" t="s">
        <v>506</v>
      </c>
      <c r="H119" s="28"/>
      <c r="I119" s="126"/>
      <c r="J119" s="7"/>
      <c r="K119" s="7"/>
    </row>
    <row r="120" spans="1:11" ht="13.5" thickBot="1">
      <c r="A120" s="292"/>
      <c r="B120" s="96"/>
      <c r="C120" s="302" t="s">
        <v>108</v>
      </c>
      <c r="D120" s="303" t="s">
        <v>503</v>
      </c>
      <c r="E120" s="302" t="s">
        <v>108</v>
      </c>
      <c r="F120" s="303" t="s">
        <v>503</v>
      </c>
      <c r="G120" s="302" t="s">
        <v>108</v>
      </c>
      <c r="H120" s="303" t="s">
        <v>503</v>
      </c>
      <c r="I120" s="126"/>
      <c r="J120" s="7"/>
      <c r="K120" s="7"/>
    </row>
    <row r="121" spans="1:11" ht="13.5" thickBot="1">
      <c r="A121" s="95"/>
      <c r="B121" s="304" t="s">
        <v>318</v>
      </c>
      <c r="C121" s="305">
        <f>+D95</f>
        <v>4.3733958486847371</v>
      </c>
      <c r="D121" s="306">
        <f>+D95/superficies!D18</f>
        <v>4.0076937903182015E-2</v>
      </c>
      <c r="E121" s="307">
        <f>+D103</f>
        <v>8.7467916973694742</v>
      </c>
      <c r="F121" s="306">
        <f>+D103/superficies!D18</f>
        <v>8.0153875806364031E-2</v>
      </c>
      <c r="G121" s="305">
        <f>+E121+C121</f>
        <v>13.120187546054211</v>
      </c>
      <c r="H121" s="308">
        <f>+F121+D121</f>
        <v>0.12023081370954605</v>
      </c>
      <c r="I121" s="7"/>
      <c r="J121" s="7"/>
      <c r="K121" s="7"/>
    </row>
    <row r="122" spans="1:11" ht="13.5" thickBot="1">
      <c r="A122" s="96"/>
      <c r="B122" s="309" t="s">
        <v>319</v>
      </c>
      <c r="C122" s="310">
        <f>+D96</f>
        <v>3.7722629102586733</v>
      </c>
      <c r="D122" s="311">
        <f>+D96/superficies!D18</f>
        <v>3.4568274091717512E-2</v>
      </c>
      <c r="E122" s="312">
        <f>+D104</f>
        <v>7.5445258205173467</v>
      </c>
      <c r="F122" s="311">
        <f>+D104/superficies!D18</f>
        <v>6.9136548183435023E-2</v>
      </c>
      <c r="G122" s="305">
        <f>+E122+C122</f>
        <v>11.31678873077602</v>
      </c>
      <c r="H122" s="313">
        <f>+F122+D122</f>
        <v>0.10370482227515254</v>
      </c>
      <c r="I122" s="7"/>
      <c r="J122" s="7"/>
      <c r="K122" s="7"/>
    </row>
    <row r="123" spans="1:11">
      <c r="A123" s="96"/>
      <c r="B123" s="292" t="s">
        <v>509</v>
      </c>
      <c r="C123" s="96"/>
      <c r="D123" s="96"/>
      <c r="E123" s="96"/>
      <c r="F123" s="96"/>
      <c r="G123" s="7"/>
      <c r="H123" s="7"/>
      <c r="I123" s="7"/>
      <c r="J123" s="7"/>
      <c r="K123" s="7"/>
    </row>
    <row r="124" spans="1:11">
      <c r="A124" s="96"/>
      <c r="B124" s="292" t="s">
        <v>510</v>
      </c>
      <c r="C124" s="96"/>
      <c r="D124" s="96"/>
      <c r="E124" s="96"/>
      <c r="F124" s="96"/>
      <c r="G124" s="96"/>
      <c r="H124" s="7"/>
      <c r="I124" s="7"/>
      <c r="J124" s="7"/>
      <c r="K124" s="7"/>
    </row>
    <row r="125" spans="1:11">
      <c r="A125" s="96"/>
      <c r="B125" s="292"/>
      <c r="C125" s="96"/>
      <c r="D125" s="96"/>
      <c r="E125" s="96"/>
      <c r="F125" s="96"/>
      <c r="G125" s="96"/>
      <c r="H125" s="7"/>
      <c r="I125" s="7"/>
      <c r="J125" s="7"/>
      <c r="K125" s="7"/>
    </row>
    <row r="126" spans="1:11">
      <c r="A126" s="96" t="s">
        <v>253</v>
      </c>
      <c r="B126" s="96"/>
      <c r="C126" s="96"/>
      <c r="D126" s="96"/>
      <c r="E126" s="96"/>
      <c r="F126" s="96"/>
      <c r="G126" s="96"/>
      <c r="H126" s="7"/>
      <c r="I126" s="7"/>
      <c r="J126" s="7"/>
      <c r="K126" s="7"/>
    </row>
    <row r="127" spans="1:11">
      <c r="A127" s="96" t="s">
        <v>254</v>
      </c>
      <c r="B127" s="96"/>
      <c r="C127" s="96"/>
      <c r="D127" s="96"/>
      <c r="E127" s="96"/>
      <c r="F127" s="96"/>
      <c r="G127" s="96"/>
      <c r="H127" s="7"/>
      <c r="I127" s="7"/>
      <c r="J127" s="7"/>
      <c r="K127" s="7"/>
    </row>
    <row r="128" spans="1:11" ht="13.5" thickBot="1">
      <c r="A128" s="7"/>
      <c r="B128" s="7"/>
      <c r="C128" s="7"/>
      <c r="D128" s="7"/>
      <c r="E128" s="7"/>
      <c r="F128" s="96"/>
      <c r="G128" s="96"/>
      <c r="H128" s="7"/>
      <c r="I128" s="7"/>
      <c r="J128" s="7"/>
      <c r="K128" s="7"/>
    </row>
    <row r="129" spans="1:11">
      <c r="A129" s="469" t="s">
        <v>617</v>
      </c>
      <c r="B129" s="470"/>
      <c r="C129" s="470"/>
      <c r="D129" s="470"/>
      <c r="E129" s="470"/>
      <c r="F129" s="471"/>
      <c r="G129" s="471"/>
      <c r="H129" s="470"/>
      <c r="I129" s="470"/>
      <c r="J129" s="470"/>
      <c r="K129" s="475"/>
    </row>
    <row r="130" spans="1:11" ht="13.5" thickBot="1">
      <c r="A130" s="472" t="s">
        <v>618</v>
      </c>
      <c r="B130" s="473"/>
      <c r="C130" s="474"/>
      <c r="D130" s="474"/>
      <c r="E130" s="474"/>
      <c r="F130" s="474"/>
      <c r="G130" s="474"/>
      <c r="H130" s="474"/>
      <c r="I130" s="474"/>
      <c r="J130" s="474"/>
      <c r="K130" s="476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H45"/>
  <sheetViews>
    <sheetView workbookViewId="0">
      <selection activeCell="K12" sqref="K12"/>
    </sheetView>
  </sheetViews>
  <sheetFormatPr baseColWidth="10" defaultRowHeight="12.75"/>
  <cols>
    <col min="2" max="2" width="11.7109375" customWidth="1"/>
    <col min="3" max="3" width="13.85546875" customWidth="1"/>
    <col min="4" max="4" width="10.85546875" customWidth="1"/>
    <col min="5" max="5" width="11" customWidth="1"/>
    <col min="6" max="6" width="10" customWidth="1"/>
    <col min="7" max="7" width="11.7109375" customWidth="1"/>
    <col min="8" max="8" width="10.7109375" customWidth="1"/>
    <col min="9" max="9" width="13.42578125" customWidth="1"/>
  </cols>
  <sheetData>
    <row r="1" spans="1:34">
      <c r="A1" s="293"/>
      <c r="B1" s="416" t="s">
        <v>579</v>
      </c>
      <c r="C1" s="417"/>
      <c r="D1" s="417"/>
      <c r="E1" s="417"/>
      <c r="F1" s="417"/>
      <c r="G1" s="417"/>
      <c r="H1" s="417"/>
      <c r="I1" s="417"/>
      <c r="J1" s="417"/>
      <c r="K1" s="417"/>
      <c r="L1" s="417"/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</row>
    <row r="2" spans="1:34">
      <c r="A2" s="293"/>
      <c r="B2" s="417"/>
      <c r="C2" s="417"/>
      <c r="D2" s="417"/>
      <c r="E2" s="417"/>
      <c r="F2" s="417"/>
      <c r="G2" s="417"/>
      <c r="H2" s="417"/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</row>
    <row r="3" spans="1:34">
      <c r="A3" s="293"/>
      <c r="B3" s="418" t="s">
        <v>561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</row>
    <row r="4" spans="1:34">
      <c r="A4" s="293"/>
      <c r="B4" s="418" t="s">
        <v>562</v>
      </c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</row>
    <row r="5" spans="1:34" ht="13.5" thickBot="1">
      <c r="A5" s="293"/>
      <c r="B5" s="418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</row>
    <row r="6" spans="1:34" ht="13.5" thickBot="1">
      <c r="A6" s="293"/>
      <c r="B6" s="660" t="s">
        <v>313</v>
      </c>
      <c r="C6" s="661"/>
      <c r="D6" s="661"/>
      <c r="E6" s="661"/>
      <c r="F6" s="661"/>
      <c r="G6" s="661"/>
      <c r="H6" s="661"/>
      <c r="I6" s="661"/>
      <c r="J6" s="661"/>
      <c r="K6" s="662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</row>
    <row r="7" spans="1:34" ht="13.5" thickBot="1">
      <c r="A7" s="293"/>
      <c r="B7" s="607"/>
      <c r="C7" s="608" t="s">
        <v>2</v>
      </c>
      <c r="D7" s="609" t="s">
        <v>305</v>
      </c>
      <c r="E7" s="610" t="s">
        <v>306</v>
      </c>
      <c r="F7" s="610" t="s">
        <v>307</v>
      </c>
      <c r="G7" s="610" t="s">
        <v>308</v>
      </c>
      <c r="H7" s="610" t="s">
        <v>311</v>
      </c>
      <c r="I7" s="611" t="s">
        <v>309</v>
      </c>
      <c r="J7" s="612" t="s">
        <v>719</v>
      </c>
      <c r="K7" s="612" t="s">
        <v>720</v>
      </c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</row>
    <row r="8" spans="1:34" hidden="1">
      <c r="A8" s="293"/>
      <c r="B8" s="407" t="s">
        <v>310</v>
      </c>
      <c r="C8" s="408" t="s">
        <v>546</v>
      </c>
      <c r="D8" s="409"/>
      <c r="E8" s="410"/>
      <c r="F8" s="410"/>
      <c r="G8" s="410"/>
      <c r="H8" s="410"/>
      <c r="I8" s="411"/>
      <c r="J8" s="613"/>
      <c r="K8" s="614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  <c r="AC8" s="417"/>
      <c r="AD8" s="417"/>
      <c r="AE8" s="417"/>
      <c r="AF8" s="417"/>
      <c r="AG8" s="417"/>
      <c r="AH8" s="417"/>
    </row>
    <row r="9" spans="1:34" hidden="1">
      <c r="A9" s="293"/>
      <c r="B9" s="412" t="s">
        <v>312</v>
      </c>
      <c r="C9" s="408"/>
      <c r="D9" s="413">
        <v>58.968000000000004</v>
      </c>
      <c r="E9" s="414">
        <v>47.061</v>
      </c>
      <c r="F9" s="414">
        <v>34.587000000000003</v>
      </c>
      <c r="G9" s="414">
        <v>14.742000000000001</v>
      </c>
      <c r="H9" s="414">
        <v>20.411999999999999</v>
      </c>
      <c r="I9" s="415">
        <v>31.184999999999999</v>
      </c>
      <c r="J9" s="615">
        <v>31.184999999999999</v>
      </c>
      <c r="K9" s="616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  <c r="AC9" s="417"/>
      <c r="AD9" s="417"/>
      <c r="AE9" s="417"/>
      <c r="AF9" s="417"/>
      <c r="AG9" s="417"/>
      <c r="AH9" s="417"/>
    </row>
    <row r="10" spans="1:34">
      <c r="A10" s="293"/>
      <c r="B10" s="446" t="s">
        <v>563</v>
      </c>
      <c r="C10" s="447"/>
      <c r="D10" s="448"/>
      <c r="E10" s="449"/>
      <c r="F10" s="449"/>
      <c r="G10" s="449"/>
      <c r="H10" s="449"/>
      <c r="I10" s="450"/>
      <c r="J10" s="450"/>
      <c r="K10" s="450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</row>
    <row r="11" spans="1:34">
      <c r="A11" s="293"/>
      <c r="B11" s="451" t="s">
        <v>312</v>
      </c>
      <c r="C11" s="452" t="s">
        <v>2</v>
      </c>
      <c r="D11" s="453">
        <v>23.247</v>
      </c>
      <c r="E11" s="454">
        <v>22.113</v>
      </c>
      <c r="F11" s="454">
        <v>19.844999999999999</v>
      </c>
      <c r="G11" s="454">
        <v>4.3</v>
      </c>
      <c r="H11" s="454">
        <v>14.742000000000001</v>
      </c>
      <c r="I11" s="455">
        <v>18.710999999999999</v>
      </c>
      <c r="J11" s="455">
        <v>11.8</v>
      </c>
      <c r="K11" s="455">
        <v>9</v>
      </c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  <c r="AC11" s="417"/>
      <c r="AD11" s="417"/>
      <c r="AE11" s="417"/>
      <c r="AF11" s="417"/>
      <c r="AG11" s="417"/>
      <c r="AH11" s="417"/>
    </row>
    <row r="12" spans="1:34" ht="13.5" thickBot="1">
      <c r="A12" s="293"/>
      <c r="B12" s="456" t="s">
        <v>721</v>
      </c>
      <c r="C12" s="457"/>
      <c r="D12" s="458">
        <v>0.1</v>
      </c>
      <c r="E12" s="458">
        <v>0.1</v>
      </c>
      <c r="F12" s="458">
        <v>0.1</v>
      </c>
      <c r="G12" s="617">
        <v>2.5000000000000001E-2</v>
      </c>
      <c r="H12" s="459">
        <v>0.1016</v>
      </c>
      <c r="I12" s="460">
        <v>0.1</v>
      </c>
      <c r="J12" s="460">
        <v>0.03</v>
      </c>
      <c r="K12" s="460">
        <v>1.4999999999999999E-2</v>
      </c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  <c r="AC12" s="417"/>
      <c r="AD12" s="417"/>
      <c r="AE12" s="417"/>
      <c r="AF12" s="417"/>
      <c r="AG12" s="417"/>
      <c r="AH12" s="417"/>
    </row>
    <row r="13" spans="1:34">
      <c r="A13" s="293"/>
      <c r="B13" s="419" t="s">
        <v>564</v>
      </c>
      <c r="C13" s="417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  <c r="AC13" s="417"/>
      <c r="AD13" s="417"/>
      <c r="AE13" s="417"/>
      <c r="AF13" s="417"/>
      <c r="AG13" s="417"/>
      <c r="AH13" s="417"/>
    </row>
    <row r="14" spans="1:34">
      <c r="A14" s="293"/>
      <c r="B14" s="417"/>
      <c r="C14" s="417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7"/>
      <c r="AE14" s="417"/>
      <c r="AF14" s="417"/>
      <c r="AG14" s="417"/>
      <c r="AH14" s="417"/>
    </row>
    <row r="15" spans="1:34">
      <c r="A15" s="293"/>
      <c r="B15" s="418" t="s">
        <v>559</v>
      </c>
      <c r="C15" s="417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7"/>
      <c r="AE15" s="417"/>
      <c r="AF15" s="417"/>
      <c r="AG15" s="417"/>
      <c r="AH15" s="417"/>
    </row>
    <row r="16" spans="1:34">
      <c r="A16" s="293"/>
      <c r="B16" s="418" t="s">
        <v>565</v>
      </c>
      <c r="C16" s="417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7"/>
      <c r="AE16" s="417"/>
      <c r="AF16" s="417"/>
      <c r="AG16" s="417"/>
      <c r="AH16" s="417"/>
    </row>
    <row r="17" spans="1:34">
      <c r="A17" s="293"/>
      <c r="B17" s="418" t="s">
        <v>566</v>
      </c>
      <c r="C17" s="417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17"/>
      <c r="AG17" s="417"/>
      <c r="AH17" s="417"/>
    </row>
    <row r="18" spans="1:34">
      <c r="A18" s="293"/>
      <c r="B18" s="418" t="s">
        <v>567</v>
      </c>
      <c r="C18" s="417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7"/>
      <c r="AE18" s="417"/>
      <c r="AF18" s="417"/>
      <c r="AG18" s="417"/>
      <c r="AH18" s="417"/>
    </row>
    <row r="19" spans="1:34" ht="13.5" thickBot="1">
      <c r="A19" s="293"/>
      <c r="B19" s="417"/>
      <c r="C19" s="417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7"/>
    </row>
    <row r="20" spans="1:34" ht="13.5" thickBot="1">
      <c r="A20" s="293"/>
      <c r="B20" s="418"/>
      <c r="C20" s="439"/>
      <c r="D20" s="440"/>
      <c r="E20" s="441"/>
      <c r="F20" s="442" t="s">
        <v>560</v>
      </c>
      <c r="G20" s="443" t="s">
        <v>140</v>
      </c>
      <c r="H20" s="444" t="s">
        <v>540</v>
      </c>
      <c r="I20" s="445" t="s">
        <v>28</v>
      </c>
      <c r="J20" s="444" t="s">
        <v>722</v>
      </c>
      <c r="K20" s="445" t="s">
        <v>723</v>
      </c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7"/>
    </row>
    <row r="21" spans="1:34">
      <c r="A21" s="293"/>
      <c r="B21" s="417"/>
      <c r="C21" s="461" t="s">
        <v>424</v>
      </c>
      <c r="D21" s="462"/>
      <c r="E21" s="463"/>
      <c r="F21" s="433"/>
      <c r="G21" s="434">
        <v>100</v>
      </c>
      <c r="H21" s="435"/>
      <c r="I21" s="434">
        <f>+superficies!D23</f>
        <v>109.12499999999999</v>
      </c>
      <c r="J21" s="618" t="s">
        <v>2</v>
      </c>
      <c r="K21" s="434">
        <v>148</v>
      </c>
      <c r="L21" s="417" t="s">
        <v>27</v>
      </c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17"/>
      <c r="AD21" s="417"/>
      <c r="AE21" s="417"/>
      <c r="AF21" s="417"/>
      <c r="AG21" s="417"/>
      <c r="AH21" s="417"/>
    </row>
    <row r="22" spans="1:34" ht="13.5" thickBot="1">
      <c r="A22" s="293"/>
      <c r="B22" s="417"/>
      <c r="C22" s="464" t="s">
        <v>423</v>
      </c>
      <c r="D22" s="465"/>
      <c r="E22" s="466"/>
      <c r="F22" s="436" t="s">
        <v>301</v>
      </c>
      <c r="G22" s="406">
        <v>22.1</v>
      </c>
      <c r="H22" s="437" t="s">
        <v>582</v>
      </c>
      <c r="I22" s="438">
        <f>+D11</f>
        <v>23.247</v>
      </c>
      <c r="J22" s="437" t="s">
        <v>719</v>
      </c>
      <c r="K22" s="438">
        <v>11.8</v>
      </c>
      <c r="L22" s="417" t="s">
        <v>304</v>
      </c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</row>
    <row r="23" spans="1:34" ht="13.5" thickBot="1">
      <c r="A23" s="293"/>
      <c r="B23" s="417"/>
      <c r="C23" s="417"/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</row>
    <row r="24" spans="1:34">
      <c r="A24" s="293"/>
      <c r="B24" s="418" t="s">
        <v>568</v>
      </c>
      <c r="C24" s="417"/>
      <c r="D24" s="417"/>
      <c r="E24" s="417"/>
      <c r="F24" s="420" t="s">
        <v>282</v>
      </c>
      <c r="G24" s="422" t="s">
        <v>547</v>
      </c>
      <c r="H24" s="422" t="s">
        <v>283</v>
      </c>
      <c r="I24" s="423" t="s">
        <v>589</v>
      </c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  <c r="AC24" s="417"/>
      <c r="AD24" s="417"/>
      <c r="AE24" s="417"/>
      <c r="AF24" s="417"/>
      <c r="AG24" s="417"/>
      <c r="AH24" s="417"/>
    </row>
    <row r="25" spans="1:34" ht="13.5" thickBot="1">
      <c r="A25" s="293"/>
      <c r="B25" s="418" t="s">
        <v>569</v>
      </c>
      <c r="C25" s="417"/>
      <c r="D25" s="417"/>
      <c r="E25" s="417"/>
      <c r="F25" s="421"/>
      <c r="G25" s="424" t="s">
        <v>284</v>
      </c>
      <c r="H25" s="424" t="s">
        <v>222</v>
      </c>
      <c r="I25" s="467">
        <v>27.6</v>
      </c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17"/>
      <c r="AF25" s="417"/>
      <c r="AG25" s="417"/>
      <c r="AH25" s="417"/>
    </row>
    <row r="26" spans="1:34">
      <c r="A26" s="293"/>
      <c r="B26" s="418" t="s">
        <v>570</v>
      </c>
      <c r="C26" s="417"/>
      <c r="D26" s="417"/>
      <c r="E26" s="417"/>
      <c r="F26" s="425">
        <v>0</v>
      </c>
      <c r="G26" s="426">
        <f>+'Balance enfriamiento'!AA12</f>
        <v>23.9908</v>
      </c>
      <c r="H26" s="426">
        <f>+'Balance enfriamiento'!AF247</f>
        <v>1727.5085298102199</v>
      </c>
      <c r="I26" s="619">
        <f t="shared" ref="I26:I37" si="0">IF(AND(H26&lt;0,(+H26/(($G$22*$G$21)+($I$21*$I$22)+($K$21*$K$22))+I25)&lt;G26),G26,(+H26/(($G$22*$G$21)+($I$21*$I$22)+($K$21*$K$22))+I25))</f>
        <v>27.866047687994094</v>
      </c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17"/>
      <c r="AH26" s="417"/>
    </row>
    <row r="27" spans="1:34">
      <c r="A27" s="293"/>
      <c r="B27" s="418" t="s">
        <v>571</v>
      </c>
      <c r="C27" s="417"/>
      <c r="D27" s="417"/>
      <c r="E27" s="417"/>
      <c r="F27" s="427">
        <v>2</v>
      </c>
      <c r="G27" s="428">
        <f>+'Balance enfriamiento'!AA13</f>
        <v>22.6296</v>
      </c>
      <c r="H27" s="428">
        <f>+'Balance enfriamiento'!AF248</f>
        <v>-6434.9920387269995</v>
      </c>
      <c r="I27" s="619">
        <f t="shared" si="0"/>
        <v>26.87501654422789</v>
      </c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</row>
    <row r="28" spans="1:34">
      <c r="A28" s="293"/>
      <c r="B28" s="418" t="s">
        <v>572</v>
      </c>
      <c r="C28" s="417"/>
      <c r="D28" s="417"/>
      <c r="E28" s="417"/>
      <c r="F28" s="427">
        <v>4</v>
      </c>
      <c r="G28" s="428">
        <f>+'Balance enfriamiento'!AA14</f>
        <v>21.2684</v>
      </c>
      <c r="H28" s="428">
        <f>+'Balance enfriamiento'!AF249</f>
        <v>-11236.157340620501</v>
      </c>
      <c r="I28" s="619">
        <f t="shared" si="0"/>
        <v>25.144574331743812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</row>
    <row r="29" spans="1:34">
      <c r="A29" s="293"/>
      <c r="B29" s="418" t="s">
        <v>573</v>
      </c>
      <c r="C29" s="417"/>
      <c r="D29" s="417"/>
      <c r="E29" s="417"/>
      <c r="F29" s="427">
        <v>6</v>
      </c>
      <c r="G29" s="428">
        <f>+'Balance enfriamiento'!AA15</f>
        <v>20.350000000000001</v>
      </c>
      <c r="H29" s="428">
        <f>+'Balance enfriamiento'!AF250</f>
        <v>-13458.755614312495</v>
      </c>
      <c r="I29" s="619">
        <f t="shared" si="0"/>
        <v>23.071837350897361</v>
      </c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7"/>
    </row>
    <row r="30" spans="1:34">
      <c r="B30" s="417"/>
      <c r="C30" s="417"/>
      <c r="D30" s="417"/>
      <c r="E30" s="417"/>
      <c r="F30" s="427">
        <v>8</v>
      </c>
      <c r="G30" s="428">
        <f>+'Balance enfriamiento'!AA16</f>
        <v>22.170400000000001</v>
      </c>
      <c r="H30" s="428">
        <f>+'Balance enfriamiento'!AF251</f>
        <v>-6241.4991503729962</v>
      </c>
      <c r="I30" s="619">
        <f t="shared" si="0"/>
        <v>22.170400000000001</v>
      </c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7"/>
    </row>
    <row r="31" spans="1:34">
      <c r="B31" s="417"/>
      <c r="C31" s="417"/>
      <c r="D31" s="417"/>
      <c r="E31" s="417"/>
      <c r="F31" s="427">
        <v>10</v>
      </c>
      <c r="G31" s="428">
        <f>+'Balance enfriamiento'!AA17</f>
        <v>29.911200000000001</v>
      </c>
      <c r="H31" s="428">
        <f>+'Balance enfriamiento'!AF252</f>
        <v>4162.0676079790792</v>
      </c>
      <c r="I31" s="619">
        <f t="shared" si="0"/>
        <v>22.811385815855612</v>
      </c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  <c r="AC31" s="417"/>
      <c r="AD31" s="417"/>
      <c r="AE31" s="417"/>
      <c r="AF31" s="417"/>
      <c r="AG31" s="417"/>
      <c r="AH31" s="417"/>
    </row>
    <row r="32" spans="1:34">
      <c r="B32" s="417"/>
      <c r="C32" s="417"/>
      <c r="D32" s="417"/>
      <c r="E32" s="417"/>
      <c r="F32" s="427">
        <v>12</v>
      </c>
      <c r="G32" s="428">
        <f>+'Balance enfriamiento'!AA18</f>
        <v>34.470399999999998</v>
      </c>
      <c r="H32" s="428">
        <f>+'Balance enfriamiento'!AF253</f>
        <v>7187.3150645013593</v>
      </c>
      <c r="I32" s="619">
        <f t="shared" si="0"/>
        <v>23.918279659098026</v>
      </c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  <c r="AE32" s="417"/>
      <c r="AF32" s="417"/>
      <c r="AG32" s="417"/>
      <c r="AH32" s="417"/>
    </row>
    <row r="33" spans="2:34">
      <c r="B33" s="417"/>
      <c r="C33" s="417"/>
      <c r="D33" s="417"/>
      <c r="E33" s="417"/>
      <c r="F33" s="427">
        <v>14</v>
      </c>
      <c r="G33" s="428">
        <f>+'Balance enfriamiento'!AA19</f>
        <v>36.75</v>
      </c>
      <c r="H33" s="428">
        <f>+'Balance enfriamiento'!AF254</f>
        <v>5693.0968943625003</v>
      </c>
      <c r="I33" s="619">
        <f t="shared" si="0"/>
        <v>24.795054065785255</v>
      </c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</row>
    <row r="34" spans="2:34">
      <c r="B34" s="417"/>
      <c r="C34" s="417"/>
      <c r="D34" s="417"/>
      <c r="E34" s="417"/>
      <c r="F34" s="427">
        <v>16</v>
      </c>
      <c r="G34" s="428">
        <f>+'Balance enfriamiento'!AA20</f>
        <v>35.388800000000003</v>
      </c>
      <c r="H34" s="428">
        <f>+'Balance enfriamiento'!AF255</f>
        <v>4891.3386287159201</v>
      </c>
      <c r="I34" s="619">
        <f t="shared" si="0"/>
        <v>25.548352420560391</v>
      </c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17"/>
      <c r="AD34" s="417"/>
      <c r="AE34" s="417"/>
      <c r="AF34" s="417"/>
      <c r="AG34" s="417"/>
      <c r="AH34" s="417"/>
    </row>
    <row r="35" spans="2:34">
      <c r="B35" s="417"/>
      <c r="C35" s="417"/>
      <c r="D35" s="417"/>
      <c r="E35" s="417"/>
      <c r="F35" s="427">
        <v>18</v>
      </c>
      <c r="G35" s="428">
        <f>+'Balance enfriamiento'!AA21</f>
        <v>31.7316</v>
      </c>
      <c r="H35" s="428">
        <f>+'Balance enfriamiento'!AF256</f>
        <v>4734.1684573329394</v>
      </c>
      <c r="I35" s="619">
        <f t="shared" si="0"/>
        <v>26.277445534089821</v>
      </c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</row>
    <row r="36" spans="2:34">
      <c r="B36" s="417"/>
      <c r="C36" s="417"/>
      <c r="D36" s="417"/>
      <c r="E36" s="417"/>
      <c r="F36" s="427">
        <v>20</v>
      </c>
      <c r="G36" s="428">
        <f>+'Balance enfriamiento'!AA22</f>
        <v>27.631599999999999</v>
      </c>
      <c r="H36" s="428">
        <f>+'Balance enfriamiento'!AF257</f>
        <v>4298.03500531794</v>
      </c>
      <c r="I36" s="619">
        <f t="shared" si="0"/>
        <v>26.939371224383304</v>
      </c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  <c r="AC36" s="417"/>
      <c r="AD36" s="417"/>
      <c r="AE36" s="417"/>
      <c r="AF36" s="417"/>
      <c r="AG36" s="417"/>
      <c r="AH36" s="417"/>
    </row>
    <row r="37" spans="2:34" ht="13.5" thickBot="1">
      <c r="B37" s="417"/>
      <c r="C37" s="417"/>
      <c r="D37" s="417"/>
      <c r="E37" s="417"/>
      <c r="F37" s="429">
        <v>22</v>
      </c>
      <c r="G37" s="430">
        <f>+'Balance enfriamiento'!AA23</f>
        <v>25.4176</v>
      </c>
      <c r="H37" s="430">
        <f>+'Balance enfriamiento'!AF258</f>
        <v>7389.5804661578404</v>
      </c>
      <c r="I37" s="620">
        <f t="shared" si="0"/>
        <v>28.077415271253258</v>
      </c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  <c r="AC37" s="417"/>
      <c r="AD37" s="417"/>
      <c r="AE37" s="417"/>
      <c r="AF37" s="417"/>
      <c r="AG37" s="417"/>
      <c r="AH37" s="417"/>
    </row>
    <row r="38" spans="2:34">
      <c r="B38" s="417"/>
      <c r="C38" s="431"/>
      <c r="D38" s="417"/>
      <c r="E38" s="417"/>
      <c r="F38" s="417" t="s">
        <v>2</v>
      </c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</row>
    <row r="39" spans="2:34">
      <c r="B39" s="418" t="s">
        <v>590</v>
      </c>
      <c r="C39" s="417"/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  <c r="AC39" s="417"/>
      <c r="AD39" s="417"/>
      <c r="AE39" s="417"/>
      <c r="AF39" s="417"/>
      <c r="AG39" s="417"/>
      <c r="AH39" s="417"/>
    </row>
    <row r="40" spans="2:34">
      <c r="B40" s="418" t="s">
        <v>591</v>
      </c>
      <c r="C40" s="417"/>
      <c r="D40" s="432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  <c r="AC40" s="417"/>
      <c r="AD40" s="417"/>
      <c r="AE40" s="417"/>
      <c r="AF40" s="417"/>
      <c r="AG40" s="417"/>
      <c r="AH40" s="417"/>
    </row>
    <row r="41" spans="2:34">
      <c r="B41" s="418" t="s">
        <v>592</v>
      </c>
      <c r="C41" s="417"/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17"/>
      <c r="AD41" s="417"/>
      <c r="AE41" s="417"/>
      <c r="AF41" s="417"/>
      <c r="AG41" s="417"/>
      <c r="AH41" s="417"/>
    </row>
    <row r="42" spans="2:34">
      <c r="B42" s="418" t="s">
        <v>593</v>
      </c>
      <c r="C42" s="417"/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  <c r="AC42" s="417"/>
      <c r="AD42" s="417"/>
      <c r="AE42" s="417"/>
      <c r="AF42" s="417"/>
      <c r="AG42" s="417"/>
      <c r="AH42" s="417"/>
    </row>
    <row r="43" spans="2:34">
      <c r="B43" s="418" t="s">
        <v>666</v>
      </c>
      <c r="C43" s="417"/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  <c r="AC43" s="417"/>
      <c r="AD43" s="417"/>
      <c r="AE43" s="417"/>
      <c r="AF43" s="417"/>
      <c r="AG43" s="417"/>
      <c r="AH43" s="417"/>
    </row>
    <row r="44" spans="2:34">
      <c r="B44" s="417" t="s">
        <v>667</v>
      </c>
      <c r="C44" s="417"/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  <c r="AC44" s="417"/>
      <c r="AD44" s="417"/>
      <c r="AE44" s="417"/>
      <c r="AF44" s="417"/>
      <c r="AG44" s="417"/>
      <c r="AH44" s="417"/>
    </row>
    <row r="45" spans="2:34">
      <c r="B45" s="417"/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  <c r="AC45" s="417"/>
      <c r="AD45" s="417"/>
      <c r="AE45" s="417"/>
      <c r="AF45" s="417"/>
      <c r="AG45" s="417"/>
      <c r="AH45" s="417"/>
    </row>
  </sheetData>
  <mergeCells count="1">
    <mergeCell ref="B6:K6"/>
  </mergeCells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K124"/>
  <sheetViews>
    <sheetView workbookViewId="0">
      <selection activeCell="D22" sqref="D22"/>
    </sheetView>
  </sheetViews>
  <sheetFormatPr baseColWidth="10" defaultRowHeight="12.75"/>
  <cols>
    <col min="4" max="4" width="12.42578125" customWidth="1"/>
    <col min="10" max="10" width="15.140625" customWidth="1"/>
    <col min="12" max="12" width="15.85546875" customWidth="1"/>
  </cols>
  <sheetData>
    <row r="1" spans="1:11">
      <c r="A1" s="95" t="s">
        <v>608</v>
      </c>
      <c r="B1" s="96"/>
      <c r="C1" s="96"/>
      <c r="D1" s="96"/>
      <c r="E1" s="96"/>
      <c r="F1" s="96"/>
      <c r="G1" s="96"/>
      <c r="H1" s="7"/>
      <c r="I1" s="7"/>
      <c r="J1" s="7"/>
      <c r="K1" s="7"/>
    </row>
    <row r="2" spans="1:11">
      <c r="A2" s="96" t="s">
        <v>575</v>
      </c>
      <c r="B2" s="96"/>
      <c r="C2" s="96"/>
      <c r="D2" s="96"/>
      <c r="E2" s="96"/>
      <c r="F2" s="96"/>
      <c r="G2" s="96"/>
      <c r="H2" s="7"/>
      <c r="I2" s="7"/>
      <c r="J2" s="7"/>
      <c r="K2" s="7"/>
    </row>
    <row r="3" spans="1:11">
      <c r="A3" s="96"/>
      <c r="B3" s="96"/>
      <c r="C3" s="96"/>
      <c r="D3" s="96"/>
      <c r="E3" s="96"/>
      <c r="F3" s="96"/>
      <c r="G3" s="96"/>
      <c r="H3" s="7"/>
      <c r="I3" s="7"/>
      <c r="J3" s="7"/>
      <c r="K3" s="7"/>
    </row>
    <row r="4" spans="1:11">
      <c r="A4" s="292" t="s">
        <v>609</v>
      </c>
      <c r="B4" s="96"/>
      <c r="C4" s="96"/>
      <c r="D4" s="96"/>
      <c r="E4" s="96"/>
      <c r="F4" s="96"/>
      <c r="G4" s="96"/>
      <c r="H4" s="7"/>
      <c r="I4" s="7"/>
      <c r="J4" s="7"/>
      <c r="K4" s="7"/>
    </row>
    <row r="5" spans="1:11">
      <c r="A5" s="292" t="s">
        <v>612</v>
      </c>
      <c r="B5" s="96"/>
      <c r="C5" s="96"/>
      <c r="D5" s="96"/>
      <c r="E5" s="96"/>
      <c r="F5" s="96"/>
      <c r="G5" s="96"/>
      <c r="H5" s="7"/>
      <c r="I5" s="7"/>
      <c r="J5" s="7"/>
      <c r="K5" s="7"/>
    </row>
    <row r="6" spans="1:11">
      <c r="A6" s="96" t="s">
        <v>610</v>
      </c>
      <c r="B6" s="96"/>
      <c r="C6" s="96"/>
      <c r="D6" s="96"/>
      <c r="E6" s="96"/>
      <c r="F6" s="96"/>
      <c r="G6" s="96"/>
      <c r="H6" s="7"/>
      <c r="I6" s="7"/>
      <c r="J6" s="7"/>
      <c r="K6" s="7"/>
    </row>
    <row r="7" spans="1:11">
      <c r="A7" s="96"/>
      <c r="B7" s="96"/>
      <c r="C7" s="96"/>
      <c r="D7" s="96"/>
      <c r="E7" s="96"/>
      <c r="F7" s="96"/>
      <c r="G7" s="96"/>
      <c r="H7" s="7"/>
      <c r="I7" s="7"/>
      <c r="J7" s="7"/>
      <c r="K7" s="7"/>
    </row>
    <row r="8" spans="1:11">
      <c r="A8" s="292" t="s">
        <v>611</v>
      </c>
      <c r="B8" s="96"/>
      <c r="C8" s="96"/>
      <c r="D8" s="96"/>
      <c r="E8" s="96"/>
      <c r="F8" s="96"/>
      <c r="G8" s="96"/>
      <c r="H8" s="7"/>
      <c r="I8" s="7"/>
      <c r="J8" s="7"/>
      <c r="K8" s="7"/>
    </row>
    <row r="9" spans="1:11" ht="13.5" thickBot="1">
      <c r="A9" s="292"/>
      <c r="B9" s="96"/>
      <c r="C9" s="96"/>
      <c r="D9" s="96"/>
      <c r="E9" s="96"/>
      <c r="F9" s="96"/>
      <c r="G9" s="96"/>
      <c r="H9" s="7"/>
      <c r="I9" s="7"/>
      <c r="J9" s="7"/>
      <c r="K9" s="7"/>
    </row>
    <row r="10" spans="1:11">
      <c r="A10" s="95"/>
      <c r="B10" s="395" t="s">
        <v>601</v>
      </c>
      <c r="C10" s="396"/>
      <c r="D10" s="396" t="s">
        <v>549</v>
      </c>
      <c r="E10" s="96"/>
      <c r="F10" s="96"/>
      <c r="G10" s="96"/>
      <c r="H10" s="7"/>
      <c r="I10" s="7"/>
      <c r="J10" s="7"/>
      <c r="K10" s="7"/>
    </row>
    <row r="11" spans="1:11" ht="13.5" thickBot="1">
      <c r="A11" s="95"/>
      <c r="B11" s="399"/>
      <c r="C11" s="400"/>
      <c r="D11" s="400" t="s">
        <v>600</v>
      </c>
      <c r="E11" s="96"/>
      <c r="F11" s="96"/>
      <c r="G11" s="96"/>
      <c r="H11" s="7"/>
      <c r="I11" s="7"/>
      <c r="J11" s="7"/>
      <c r="K11" s="7"/>
    </row>
    <row r="12" spans="1:11">
      <c r="A12" s="95"/>
      <c r="B12" s="404" t="s">
        <v>605</v>
      </c>
      <c r="C12" s="405"/>
      <c r="D12" s="401">
        <v>3</v>
      </c>
      <c r="E12" s="96"/>
      <c r="F12" s="96"/>
      <c r="G12" s="96"/>
      <c r="H12" s="7"/>
      <c r="I12" s="7"/>
      <c r="J12" s="7"/>
      <c r="K12" s="7"/>
    </row>
    <row r="13" spans="1:11">
      <c r="A13" s="95"/>
      <c r="B13" s="397" t="s">
        <v>602</v>
      </c>
      <c r="C13" s="401"/>
      <c r="D13" s="402">
        <v>20</v>
      </c>
      <c r="E13" s="96"/>
      <c r="F13" s="96"/>
      <c r="G13" s="96"/>
      <c r="H13" s="7"/>
      <c r="I13" s="7"/>
      <c r="J13" s="7"/>
      <c r="K13" s="7"/>
    </row>
    <row r="14" spans="1:11">
      <c r="A14" s="95"/>
      <c r="B14" s="397" t="s">
        <v>603</v>
      </c>
      <c r="C14" s="401"/>
      <c r="D14" s="402">
        <v>10</v>
      </c>
      <c r="E14" s="96"/>
      <c r="F14" s="96"/>
      <c r="G14" s="96"/>
      <c r="H14" s="7"/>
      <c r="I14" s="7"/>
      <c r="J14" s="7"/>
      <c r="K14" s="7"/>
    </row>
    <row r="15" spans="1:11">
      <c r="A15" s="95"/>
      <c r="B15" s="397" t="s">
        <v>604</v>
      </c>
      <c r="C15" s="401"/>
      <c r="D15" s="402">
        <v>6</v>
      </c>
      <c r="E15" s="96"/>
      <c r="F15" s="96"/>
      <c r="G15" s="96"/>
      <c r="H15" s="7"/>
      <c r="I15" s="7"/>
      <c r="J15" s="7"/>
      <c r="K15" s="7"/>
    </row>
    <row r="16" spans="1:11">
      <c r="A16" s="95"/>
      <c r="B16" s="397" t="s">
        <v>606</v>
      </c>
      <c r="C16" s="401"/>
      <c r="D16" s="402">
        <v>12</v>
      </c>
      <c r="E16" s="96"/>
      <c r="F16" s="96"/>
      <c r="G16" s="96"/>
      <c r="H16" s="7"/>
      <c r="I16" s="7"/>
      <c r="J16" s="7"/>
      <c r="K16" s="7"/>
    </row>
    <row r="17" spans="1:11" ht="13.5" thickBot="1">
      <c r="A17" s="95"/>
      <c r="B17" s="398" t="s">
        <v>607</v>
      </c>
      <c r="C17" s="406"/>
      <c r="D17" s="403">
        <v>8</v>
      </c>
      <c r="E17" s="96"/>
      <c r="F17" s="96"/>
      <c r="G17" s="96"/>
      <c r="H17" s="7"/>
      <c r="I17" s="7"/>
      <c r="J17" s="7"/>
      <c r="K17" s="7"/>
    </row>
    <row r="18" spans="1:11">
      <c r="A18" s="95"/>
      <c r="B18" s="96"/>
      <c r="C18" s="96"/>
      <c r="D18" s="96"/>
      <c r="E18" s="96"/>
      <c r="F18" s="96"/>
      <c r="G18" s="96"/>
      <c r="H18" s="7"/>
      <c r="I18" s="7"/>
      <c r="J18" s="7"/>
      <c r="K18" s="7"/>
    </row>
    <row r="19" spans="1:11">
      <c r="A19" s="95"/>
      <c r="B19" s="96"/>
      <c r="C19" s="96"/>
      <c r="D19" s="96"/>
      <c r="E19" s="96"/>
      <c r="F19" s="96"/>
      <c r="G19" s="96"/>
      <c r="H19" s="7"/>
      <c r="I19" s="7"/>
      <c r="J19" s="7"/>
      <c r="K19" s="7"/>
    </row>
    <row r="20" spans="1:11">
      <c r="A20" s="95" t="s">
        <v>574</v>
      </c>
      <c r="B20" s="96"/>
      <c r="C20" s="96"/>
      <c r="D20" s="96"/>
      <c r="E20" s="96"/>
      <c r="F20" s="96"/>
      <c r="G20" s="96"/>
      <c r="H20" s="7"/>
      <c r="I20" s="7"/>
      <c r="J20" s="7"/>
      <c r="K20" s="7"/>
    </row>
    <row r="21" spans="1:11">
      <c r="A21" s="96"/>
      <c r="B21" s="96"/>
      <c r="C21" s="96"/>
      <c r="D21" s="96"/>
      <c r="E21" s="96"/>
      <c r="F21" s="96"/>
      <c r="G21" s="96"/>
      <c r="H21" s="7"/>
      <c r="I21" s="7"/>
      <c r="J21" s="7"/>
      <c r="K21" s="7"/>
    </row>
    <row r="22" spans="1:11" ht="14.25">
      <c r="A22" s="292" t="s">
        <v>512</v>
      </c>
      <c r="B22" s="96"/>
      <c r="C22" s="96"/>
      <c r="D22" s="96"/>
      <c r="E22" s="96">
        <f>+superficies!D22</f>
        <v>261.89999999999998</v>
      </c>
      <c r="F22" s="292" t="s">
        <v>511</v>
      </c>
      <c r="G22" s="96"/>
      <c r="H22" s="96"/>
      <c r="I22" s="96"/>
      <c r="J22" s="96"/>
      <c r="K22" s="96"/>
    </row>
    <row r="23" spans="1:11">
      <c r="A23" s="96" t="s">
        <v>227</v>
      </c>
      <c r="B23" s="96"/>
      <c r="C23" s="96"/>
      <c r="D23" s="96"/>
      <c r="E23" s="367">
        <v>6</v>
      </c>
      <c r="F23" s="292" t="s">
        <v>515</v>
      </c>
      <c r="G23" s="96"/>
      <c r="H23" s="7"/>
      <c r="I23" s="7"/>
      <c r="J23" s="7"/>
      <c r="K23" s="7"/>
    </row>
    <row r="24" spans="1:11" ht="14.25">
      <c r="A24" s="292" t="s">
        <v>513</v>
      </c>
      <c r="B24" s="96"/>
      <c r="C24" s="96"/>
      <c r="D24" s="96"/>
      <c r="E24" s="127">
        <f>+E23*E22</f>
        <v>1571.3999999999999</v>
      </c>
      <c r="F24" s="292" t="s">
        <v>517</v>
      </c>
      <c r="G24" s="96"/>
      <c r="H24" s="7"/>
      <c r="I24" s="7"/>
      <c r="J24" s="7"/>
      <c r="K24" s="7"/>
    </row>
    <row r="25" spans="1:11">
      <c r="A25" s="292" t="s">
        <v>514</v>
      </c>
      <c r="B25" s="96"/>
      <c r="C25" s="96"/>
      <c r="D25" s="96"/>
      <c r="E25" s="149" t="str">
        <f>VLOOKUP(Lugar!E84,Lugar!A65:C84,2)</f>
        <v>Santa Rosa</v>
      </c>
      <c r="F25" s="96"/>
      <c r="G25" s="96"/>
      <c r="H25" s="7"/>
      <c r="I25" s="7"/>
      <c r="J25" s="7"/>
      <c r="K25" s="7"/>
    </row>
    <row r="26" spans="1:11">
      <c r="A26" s="292" t="s">
        <v>518</v>
      </c>
      <c r="B26" s="96"/>
      <c r="C26" s="96"/>
      <c r="D26" s="96"/>
      <c r="E26" s="149">
        <f>VLOOKUP(Lugar!E84,Lugar!A64:E84,4)</f>
        <v>15</v>
      </c>
      <c r="F26" s="314" t="s">
        <v>516</v>
      </c>
      <c r="G26" s="96"/>
      <c r="H26" s="7"/>
      <c r="I26" s="7"/>
      <c r="J26" s="7"/>
      <c r="K26" s="7"/>
    </row>
    <row r="27" spans="1:11">
      <c r="A27" s="96" t="s">
        <v>527</v>
      </c>
      <c r="B27" s="96"/>
      <c r="C27" s="96"/>
      <c r="D27" s="96"/>
      <c r="E27" s="127" t="str">
        <f>VLOOKUP(Lugar!E84,Lugar!A64:I84,8)</f>
        <v>N</v>
      </c>
      <c r="F27" s="317" t="s">
        <v>522</v>
      </c>
      <c r="G27" s="318"/>
      <c r="H27" s="319"/>
      <c r="I27" s="7"/>
      <c r="J27" s="7"/>
      <c r="K27" s="7"/>
    </row>
    <row r="28" spans="1:11">
      <c r="A28" s="292" t="s">
        <v>475</v>
      </c>
      <c r="B28" s="96"/>
      <c r="C28" s="96"/>
      <c r="D28" s="96"/>
      <c r="E28" s="127">
        <f>VLOOKUP(Lugar!E84,Lugar!A64:I84,7)</f>
        <v>0</v>
      </c>
      <c r="F28" s="317" t="s">
        <v>474</v>
      </c>
      <c r="G28" s="318"/>
      <c r="H28" s="127" t="str">
        <f>VLOOKUP(Lugar!E84,Lugar!A64:I84,8)</f>
        <v>N</v>
      </c>
      <c r="I28" s="7"/>
      <c r="J28" s="7"/>
      <c r="K28" s="7"/>
    </row>
    <row r="29" spans="1:11">
      <c r="A29" s="292" t="s">
        <v>485</v>
      </c>
      <c r="B29" s="96"/>
      <c r="C29" s="96"/>
      <c r="D29" s="96"/>
      <c r="E29" s="96"/>
      <c r="F29" s="96"/>
      <c r="G29" s="96"/>
      <c r="H29" s="7"/>
      <c r="I29" s="7"/>
      <c r="J29" s="7"/>
      <c r="K29" s="7"/>
    </row>
    <row r="30" spans="1:11">
      <c r="A30" s="96"/>
      <c r="B30" s="292" t="s">
        <v>484</v>
      </c>
      <c r="C30" s="292"/>
      <c r="D30" s="96" t="s">
        <v>182</v>
      </c>
      <c r="E30" s="96">
        <f>IF($E$28&lt;22.5,0.4,IF($E$28&lt;40,0.4,IF($E$28&lt;60,0.25,IF($E$28&lt;=80,-0.06,-0.4))))</f>
        <v>0.4</v>
      </c>
      <c r="F30" s="96"/>
      <c r="G30" s="96"/>
      <c r="H30" s="7"/>
      <c r="I30" s="7"/>
      <c r="J30" s="7"/>
      <c r="K30" s="7"/>
    </row>
    <row r="31" spans="1:11">
      <c r="A31" s="96"/>
      <c r="B31" s="292" t="s">
        <v>484</v>
      </c>
      <c r="C31" s="96"/>
      <c r="D31" s="96" t="s">
        <v>228</v>
      </c>
      <c r="E31" s="96">
        <f>IF($E$28&lt;22.5,-0.4,IF($E$28&lt;40,-0.06,IF($E$28&lt;60,0.25,IF($E$28&lt;=80,0.3,0.4))))</f>
        <v>-0.4</v>
      </c>
      <c r="F31" s="96"/>
      <c r="G31" s="96"/>
      <c r="H31" s="7"/>
      <c r="I31" s="7"/>
      <c r="J31" s="7"/>
      <c r="K31" s="7"/>
    </row>
    <row r="32" spans="1:11">
      <c r="A32" s="96"/>
      <c r="B32" s="292" t="s">
        <v>484</v>
      </c>
      <c r="C32" s="96"/>
      <c r="D32" s="96" t="s">
        <v>184</v>
      </c>
      <c r="E32" s="96">
        <f>IF($E$28&lt;22.5,-0.25,IF($E$28&lt;40,-0.4,IF($E$28&lt;60,-0.45,IF($E$28&lt;=80,-0.55,-0.4))))</f>
        <v>-0.25</v>
      </c>
      <c r="F32" s="96"/>
      <c r="G32" s="96"/>
      <c r="H32" s="7"/>
      <c r="I32" s="7"/>
      <c r="J32" s="7"/>
      <c r="K32" s="7"/>
    </row>
    <row r="33" spans="1:11">
      <c r="A33" s="96"/>
      <c r="B33" s="292" t="s">
        <v>484</v>
      </c>
      <c r="C33" s="96"/>
      <c r="D33" s="96" t="s">
        <v>229</v>
      </c>
      <c r="E33" s="96">
        <f>IF($E$28&lt;22.5,-0.4,IF($E$28&lt;40,-0.6,IF($E$28&lt;60,-0.45,IF($E$28&lt;=80,-0.4,-0.25))))</f>
        <v>-0.4</v>
      </c>
      <c r="F33" s="96"/>
      <c r="G33" s="96"/>
      <c r="H33" s="7"/>
      <c r="I33" s="7"/>
      <c r="J33" s="7"/>
      <c r="K33" s="7"/>
    </row>
    <row r="34" spans="1:11">
      <c r="A34" s="96"/>
      <c r="B34" s="292" t="s">
        <v>486</v>
      </c>
      <c r="C34" s="96"/>
      <c r="D34" s="96" t="s">
        <v>186</v>
      </c>
      <c r="E34" s="96">
        <v>-0.3</v>
      </c>
      <c r="F34" s="292" t="s">
        <v>581</v>
      </c>
      <c r="G34" s="96"/>
      <c r="H34" s="7"/>
      <c r="I34" s="7"/>
      <c r="J34" s="7"/>
      <c r="K34" s="7"/>
    </row>
    <row r="35" spans="1:11">
      <c r="A35" s="96"/>
      <c r="B35" s="96"/>
      <c r="C35" s="96"/>
      <c r="D35" s="96"/>
      <c r="E35" s="96"/>
      <c r="F35" s="96"/>
      <c r="G35" s="96"/>
      <c r="H35" s="7"/>
      <c r="I35" s="7"/>
      <c r="J35" s="7"/>
      <c r="K35" s="7"/>
    </row>
    <row r="36" spans="1:11">
      <c r="A36" s="96"/>
      <c r="B36" s="96"/>
      <c r="C36" s="96"/>
      <c r="D36" s="96"/>
      <c r="E36" s="292" t="s">
        <v>523</v>
      </c>
      <c r="F36" s="96"/>
      <c r="G36" s="96"/>
      <c r="H36" s="7"/>
      <c r="I36" s="292" t="s">
        <v>524</v>
      </c>
      <c r="J36" s="7"/>
      <c r="K36" s="7"/>
    </row>
    <row r="37" spans="1:11">
      <c r="A37" s="96"/>
      <c r="B37" s="96"/>
      <c r="C37" s="96"/>
      <c r="D37" s="96"/>
      <c r="E37" s="96" t="s">
        <v>526</v>
      </c>
      <c r="F37" s="96"/>
      <c r="G37" s="96"/>
      <c r="H37" s="7"/>
      <c r="I37" s="7" t="s">
        <v>525</v>
      </c>
      <c r="J37" s="7"/>
      <c r="K37" s="7"/>
    </row>
    <row r="38" spans="1:11">
      <c r="A38" s="96"/>
      <c r="B38" s="96"/>
      <c r="C38" s="96"/>
      <c r="D38" s="96"/>
      <c r="E38" s="96" t="str">
        <f>+F28</f>
        <v xml:space="preserve">   Lado "a" sería:</v>
      </c>
      <c r="F38" s="96"/>
      <c r="G38" s="96" t="str">
        <f>+H28</f>
        <v>N</v>
      </c>
      <c r="H38" s="96"/>
      <c r="I38" s="7"/>
      <c r="J38" s="7"/>
      <c r="K38" s="7"/>
    </row>
    <row r="39" spans="1:11">
      <c r="A39" s="96"/>
      <c r="B39" s="96"/>
      <c r="C39" s="96"/>
      <c r="D39" s="96"/>
      <c r="E39" s="96"/>
      <c r="F39" s="96"/>
      <c r="G39" s="96"/>
      <c r="H39" s="96"/>
      <c r="I39" s="96"/>
      <c r="J39" s="96"/>
      <c r="K39" s="96"/>
    </row>
    <row r="40" spans="1:11">
      <c r="A40" s="96"/>
      <c r="B40" s="96"/>
      <c r="C40" s="96"/>
      <c r="D40" s="96"/>
      <c r="E40" s="292" t="s">
        <v>476</v>
      </c>
      <c r="F40" s="96"/>
      <c r="G40" s="140" t="s">
        <v>477</v>
      </c>
      <c r="H40" s="7">
        <f>+E30-E32</f>
        <v>0.65</v>
      </c>
      <c r="I40" s="140" t="s">
        <v>487</v>
      </c>
      <c r="J40" s="7"/>
      <c r="K40" s="7"/>
    </row>
    <row r="41" spans="1:11">
      <c r="A41" s="96"/>
      <c r="B41" s="96"/>
      <c r="C41" s="96"/>
      <c r="D41" s="96"/>
      <c r="E41" s="292" t="s">
        <v>482</v>
      </c>
      <c r="F41" s="96"/>
      <c r="G41" s="140" t="s">
        <v>478</v>
      </c>
      <c r="H41" s="7">
        <f>+E30-E31</f>
        <v>0.8</v>
      </c>
      <c r="I41" s="140" t="s">
        <v>488</v>
      </c>
      <c r="J41" s="7"/>
      <c r="K41" s="7"/>
    </row>
    <row r="42" spans="1:11">
      <c r="A42" s="96"/>
      <c r="B42" s="96"/>
      <c r="C42" s="96"/>
      <c r="D42" s="96"/>
      <c r="E42" s="292" t="s">
        <v>483</v>
      </c>
      <c r="F42" s="96"/>
      <c r="G42" s="140" t="s">
        <v>479</v>
      </c>
      <c r="H42" s="7">
        <f>+E30-E33</f>
        <v>0.8</v>
      </c>
      <c r="I42" s="140" t="s">
        <v>489</v>
      </c>
      <c r="J42" s="7"/>
      <c r="K42" s="7"/>
    </row>
    <row r="43" spans="1:11">
      <c r="A43" s="96"/>
      <c r="B43" s="96"/>
      <c r="C43" s="96"/>
      <c r="D43" s="96"/>
      <c r="E43" s="292" t="s">
        <v>481</v>
      </c>
      <c r="F43" s="96"/>
      <c r="G43" s="140" t="s">
        <v>480</v>
      </c>
      <c r="H43" s="7">
        <f>+E30-E34</f>
        <v>0.7</v>
      </c>
      <c r="I43" s="140" t="s">
        <v>490</v>
      </c>
      <c r="J43" s="7"/>
      <c r="K43" s="7"/>
    </row>
    <row r="44" spans="1:11">
      <c r="A44" s="96"/>
      <c r="B44" s="96"/>
      <c r="C44" s="96"/>
      <c r="D44" s="96"/>
      <c r="E44" s="96"/>
      <c r="F44" s="96"/>
      <c r="G44" s="96"/>
      <c r="H44" s="7"/>
      <c r="I44" s="7"/>
      <c r="J44" s="7"/>
      <c r="K44" s="7"/>
    </row>
    <row r="45" spans="1:11">
      <c r="A45" s="96"/>
      <c r="B45" s="96"/>
      <c r="C45" s="96"/>
      <c r="D45" s="96"/>
      <c r="E45" s="96"/>
      <c r="F45" s="96"/>
      <c r="G45" s="96"/>
      <c r="H45" s="7"/>
      <c r="I45" s="7"/>
      <c r="J45" s="7"/>
      <c r="K45" s="7"/>
    </row>
    <row r="46" spans="1:11">
      <c r="A46" s="96"/>
      <c r="B46" s="96"/>
      <c r="C46" s="96"/>
      <c r="D46" s="96"/>
      <c r="E46" s="96"/>
      <c r="F46" s="96"/>
      <c r="G46" s="96"/>
      <c r="H46" s="7"/>
      <c r="I46" s="7"/>
      <c r="J46" s="7"/>
      <c r="K46" s="7"/>
    </row>
    <row r="47" spans="1:11">
      <c r="A47" s="96"/>
      <c r="B47" s="96"/>
      <c r="C47" s="96"/>
      <c r="D47" s="96"/>
      <c r="E47" s="96"/>
      <c r="F47" s="96"/>
      <c r="G47" s="96"/>
      <c r="H47" s="7"/>
      <c r="I47" s="7"/>
      <c r="J47" s="7"/>
      <c r="K47" s="7"/>
    </row>
    <row r="48" spans="1:11">
      <c r="A48" s="96"/>
      <c r="B48" s="96"/>
      <c r="C48" s="96"/>
      <c r="D48" s="96"/>
      <c r="E48" s="96"/>
      <c r="F48" s="96"/>
      <c r="G48" s="96"/>
      <c r="H48" s="7"/>
      <c r="I48" s="7"/>
      <c r="J48" s="7"/>
      <c r="K48" s="7"/>
    </row>
    <row r="49" spans="1:11">
      <c r="A49" s="96"/>
      <c r="B49" s="96"/>
      <c r="C49" s="96"/>
      <c r="D49" s="96"/>
      <c r="E49" s="96"/>
      <c r="F49" s="96"/>
      <c r="G49" s="96"/>
      <c r="H49" s="7"/>
      <c r="I49" s="7"/>
      <c r="J49" s="7"/>
      <c r="K49" s="7"/>
    </row>
    <row r="50" spans="1:11">
      <c r="A50" s="96"/>
      <c r="B50" s="96"/>
      <c r="C50" s="96"/>
      <c r="D50" s="96"/>
      <c r="E50" s="96"/>
      <c r="F50" s="96"/>
      <c r="G50" s="96"/>
      <c r="H50" s="7"/>
      <c r="I50" s="7"/>
      <c r="J50" s="7"/>
      <c r="K50" s="7"/>
    </row>
    <row r="51" spans="1:11">
      <c r="A51" s="96"/>
      <c r="B51" s="96"/>
      <c r="C51" s="96"/>
      <c r="D51" s="96"/>
      <c r="E51" s="96"/>
      <c r="F51" s="96"/>
      <c r="G51" s="96"/>
      <c r="H51" s="7"/>
      <c r="I51" s="7"/>
      <c r="J51" s="7"/>
      <c r="K51" s="7"/>
    </row>
    <row r="52" spans="1:11">
      <c r="A52" s="96"/>
      <c r="B52" s="96"/>
      <c r="C52" s="96"/>
      <c r="D52" s="96"/>
      <c r="E52" s="96"/>
      <c r="F52" s="96"/>
      <c r="G52" s="96"/>
      <c r="H52" s="7"/>
      <c r="I52" s="7"/>
      <c r="J52" s="7"/>
      <c r="K52" s="7"/>
    </row>
    <row r="53" spans="1:11">
      <c r="A53" s="96" t="s">
        <v>230</v>
      </c>
      <c r="B53" s="96"/>
      <c r="C53" s="96"/>
      <c r="D53" s="96"/>
      <c r="E53" s="96"/>
      <c r="F53" s="96"/>
      <c r="G53" s="96"/>
      <c r="H53" s="7"/>
      <c r="I53" s="7"/>
      <c r="J53" s="7"/>
      <c r="K53" s="7"/>
    </row>
    <row r="54" spans="1:11">
      <c r="A54" s="96" t="s">
        <v>231</v>
      </c>
      <c r="B54" s="96"/>
      <c r="C54" s="96"/>
      <c r="D54" s="96"/>
      <c r="E54" s="90">
        <f>+E30-E32</f>
        <v>0.65</v>
      </c>
      <c r="F54" s="96"/>
      <c r="G54" s="292" t="s">
        <v>492</v>
      </c>
      <c r="H54" s="7"/>
      <c r="I54" s="7"/>
      <c r="J54" s="7"/>
      <c r="K54" s="7"/>
    </row>
    <row r="55" spans="1:11">
      <c r="A55" s="96"/>
      <c r="B55" s="96"/>
      <c r="C55" s="96"/>
      <c r="D55" s="96"/>
      <c r="E55" s="96"/>
      <c r="F55" s="96"/>
      <c r="G55" s="292" t="s">
        <v>491</v>
      </c>
      <c r="H55" s="7"/>
      <c r="I55" s="7"/>
      <c r="J55" s="7"/>
      <c r="K55" s="7"/>
    </row>
    <row r="56" spans="1:11">
      <c r="A56" s="292" t="s">
        <v>493</v>
      </c>
      <c r="B56" s="96"/>
      <c r="C56" s="96"/>
      <c r="D56" s="96"/>
      <c r="E56" s="96"/>
      <c r="F56" s="96"/>
      <c r="G56" s="96"/>
      <c r="H56" s="7"/>
      <c r="I56" s="7"/>
      <c r="J56" s="7"/>
      <c r="K56" s="7"/>
    </row>
    <row r="57" spans="1:11">
      <c r="A57" s="96"/>
      <c r="B57" s="96"/>
      <c r="C57" s="96"/>
      <c r="D57" s="96"/>
      <c r="E57" s="96"/>
      <c r="F57" s="96"/>
      <c r="G57" s="96"/>
      <c r="H57" s="7"/>
      <c r="I57" s="7"/>
      <c r="J57" s="7"/>
      <c r="K57" s="7"/>
    </row>
    <row r="58" spans="1:11">
      <c r="A58" s="96"/>
      <c r="B58" s="96" t="s">
        <v>468</v>
      </c>
      <c r="C58" s="96"/>
      <c r="D58" s="96"/>
      <c r="E58" s="90">
        <v>12</v>
      </c>
      <c r="F58" s="96" t="s">
        <v>470</v>
      </c>
      <c r="G58" s="292" t="s">
        <v>615</v>
      </c>
      <c r="H58" s="7"/>
      <c r="I58" s="7"/>
      <c r="J58" s="7"/>
      <c r="K58" s="7"/>
    </row>
    <row r="59" spans="1:11">
      <c r="A59" s="96"/>
      <c r="B59" s="96" t="s">
        <v>469</v>
      </c>
      <c r="C59" s="96"/>
      <c r="D59" s="96"/>
      <c r="E59" s="90">
        <v>6</v>
      </c>
      <c r="F59" s="96" t="s">
        <v>470</v>
      </c>
      <c r="G59" s="96" t="s">
        <v>613</v>
      </c>
      <c r="H59" s="7"/>
      <c r="I59" s="7"/>
      <c r="J59" s="7"/>
      <c r="K59" s="7"/>
    </row>
    <row r="60" spans="1:11">
      <c r="A60" s="96"/>
      <c r="B60" s="96" t="s">
        <v>232</v>
      </c>
      <c r="C60" s="96"/>
      <c r="D60" s="96"/>
      <c r="E60" s="96">
        <f>+E58/E59</f>
        <v>2</v>
      </c>
      <c r="F60" s="96" t="s">
        <v>2</v>
      </c>
      <c r="G60" s="96" t="s">
        <v>614</v>
      </c>
      <c r="H60" s="7"/>
      <c r="I60" s="7"/>
      <c r="J60" s="7"/>
      <c r="K60" s="7"/>
    </row>
    <row r="61" spans="1:11">
      <c r="A61" s="96"/>
      <c r="B61" s="96" t="s">
        <v>233</v>
      </c>
      <c r="C61" s="96"/>
      <c r="D61" s="96"/>
      <c r="E61" s="96">
        <f>IF(E60&lt;=6,0.0304+0.1689*E60,0.0304+0.1689*6)</f>
        <v>0.36819999999999997</v>
      </c>
      <c r="F61" s="96" t="s">
        <v>2</v>
      </c>
      <c r="G61" s="96"/>
      <c r="H61" s="7"/>
      <c r="I61" s="7"/>
      <c r="J61" s="7"/>
      <c r="K61" s="7"/>
    </row>
    <row r="62" spans="1:11">
      <c r="A62" s="96"/>
      <c r="B62" s="96" t="s">
        <v>234</v>
      </c>
      <c r="C62" s="96"/>
      <c r="D62" s="96"/>
      <c r="E62" s="96">
        <f>IF(E60&lt;=6,0.0421+0.2264*E60,0.0421+0.2264*6)</f>
        <v>0.49490000000000001</v>
      </c>
      <c r="F62" s="96"/>
      <c r="G62" s="96"/>
      <c r="H62" s="7"/>
      <c r="I62" s="7"/>
      <c r="J62" s="7"/>
      <c r="K62" s="7"/>
    </row>
    <row r="63" spans="1:11">
      <c r="A63" s="96"/>
      <c r="B63" s="96"/>
      <c r="C63" s="96"/>
      <c r="D63" s="96"/>
      <c r="E63" s="96"/>
      <c r="F63" s="96"/>
      <c r="G63" s="96"/>
      <c r="H63" s="7"/>
      <c r="I63" s="7"/>
      <c r="J63" s="7"/>
      <c r="K63" s="7"/>
    </row>
    <row r="64" spans="1:11">
      <c r="A64" s="96" t="s">
        <v>235</v>
      </c>
      <c r="B64" s="96"/>
      <c r="C64" s="96"/>
      <c r="D64" s="96"/>
      <c r="E64" s="96"/>
      <c r="F64" s="96"/>
      <c r="G64" s="96"/>
      <c r="H64" s="7"/>
      <c r="I64" s="7"/>
      <c r="J64" s="7"/>
      <c r="K64" s="7"/>
    </row>
    <row r="65" spans="1:11">
      <c r="A65" s="96"/>
      <c r="B65" s="96" t="s">
        <v>236</v>
      </c>
      <c r="C65" s="96"/>
      <c r="D65" s="96"/>
      <c r="E65" s="96">
        <f>+E61*E54</f>
        <v>0.23932999999999999</v>
      </c>
      <c r="F65" s="96"/>
      <c r="G65" s="96"/>
      <c r="H65" s="7"/>
      <c r="I65" s="7"/>
      <c r="J65" s="7"/>
      <c r="K65" s="7"/>
    </row>
    <row r="66" spans="1:11">
      <c r="A66" s="96"/>
      <c r="B66" s="96" t="s">
        <v>237</v>
      </c>
      <c r="C66" s="96"/>
      <c r="D66" s="96"/>
      <c r="E66" s="96">
        <f>+E62*E54</f>
        <v>0.321685</v>
      </c>
      <c r="F66" s="96"/>
      <c r="G66" s="96"/>
      <c r="H66" s="7"/>
      <c r="I66" s="7"/>
      <c r="J66" s="7"/>
      <c r="K66" s="7"/>
    </row>
    <row r="67" spans="1:11">
      <c r="A67" s="96"/>
      <c r="B67" s="96"/>
      <c r="C67" s="96"/>
      <c r="D67" s="96"/>
      <c r="E67" s="96"/>
      <c r="F67" s="96"/>
      <c r="G67" s="96"/>
      <c r="H67" s="7"/>
      <c r="I67" s="7"/>
      <c r="J67" s="7"/>
      <c r="K67" s="7"/>
    </row>
    <row r="68" spans="1:11">
      <c r="A68" s="96" t="s">
        <v>238</v>
      </c>
      <c r="B68" s="96"/>
      <c r="C68" s="96"/>
      <c r="D68" s="96"/>
      <c r="E68" s="96"/>
      <c r="F68" s="127"/>
      <c r="G68" s="127"/>
      <c r="H68" s="7"/>
      <c r="I68" s="7"/>
      <c r="J68" s="7"/>
      <c r="K68" s="7"/>
    </row>
    <row r="69" spans="1:11">
      <c r="A69" s="96"/>
      <c r="B69" s="96"/>
      <c r="C69" s="96"/>
      <c r="D69" s="96" t="s">
        <v>471</v>
      </c>
      <c r="E69" s="96"/>
      <c r="F69" s="291" t="s">
        <v>494</v>
      </c>
      <c r="G69" s="291" t="s">
        <v>495</v>
      </c>
      <c r="H69" s="7"/>
      <c r="I69" s="7"/>
      <c r="J69" s="7"/>
      <c r="K69" s="7"/>
    </row>
    <row r="70" spans="1:11">
      <c r="A70" s="96"/>
      <c r="B70" s="96"/>
      <c r="C70" s="96"/>
      <c r="D70" s="96"/>
      <c r="E70" s="96"/>
      <c r="F70" s="127"/>
      <c r="G70" s="127"/>
      <c r="H70" s="7"/>
      <c r="I70" s="7"/>
      <c r="J70" s="7"/>
      <c r="K70" s="7"/>
    </row>
    <row r="71" spans="1:11">
      <c r="A71" s="96"/>
      <c r="B71" s="96" t="s">
        <v>239</v>
      </c>
      <c r="C71" s="96"/>
      <c r="D71" s="96"/>
      <c r="E71" s="96"/>
      <c r="F71" s="127">
        <v>1.3</v>
      </c>
      <c r="G71" s="127">
        <v>0.98</v>
      </c>
      <c r="H71" s="7"/>
      <c r="I71" s="7"/>
      <c r="J71" s="7"/>
      <c r="K71" s="7"/>
    </row>
    <row r="72" spans="1:11">
      <c r="A72" s="96"/>
      <c r="B72" s="96" t="s">
        <v>240</v>
      </c>
      <c r="C72" s="96"/>
      <c r="D72" s="96"/>
      <c r="E72" s="96"/>
      <c r="F72" s="127">
        <v>1</v>
      </c>
      <c r="G72" s="127">
        <v>0.75</v>
      </c>
      <c r="H72" s="7"/>
      <c r="I72" s="7"/>
      <c r="J72" s="7"/>
      <c r="K72" s="7"/>
    </row>
    <row r="73" spans="1:11">
      <c r="A73" s="96"/>
      <c r="B73" s="96" t="s">
        <v>241</v>
      </c>
      <c r="C73" s="96"/>
      <c r="D73" s="96"/>
      <c r="E73" s="96"/>
      <c r="F73" s="127">
        <v>0.85</v>
      </c>
      <c r="G73" s="127">
        <v>0.64</v>
      </c>
      <c r="H73" s="7"/>
      <c r="I73" s="7"/>
      <c r="J73" s="7"/>
      <c r="K73" s="7"/>
    </row>
    <row r="74" spans="1:11">
      <c r="A74" s="96"/>
      <c r="B74" s="96" t="s">
        <v>242</v>
      </c>
      <c r="C74" s="96"/>
      <c r="D74" s="96"/>
      <c r="E74" s="96"/>
      <c r="F74" s="127">
        <v>0.67</v>
      </c>
      <c r="G74" s="127">
        <v>0.5</v>
      </c>
      <c r="H74" s="7"/>
      <c r="I74" s="7"/>
      <c r="J74" s="7"/>
      <c r="K74" s="7"/>
    </row>
    <row r="75" spans="1:11">
      <c r="A75" s="96"/>
      <c r="B75" s="96" t="s">
        <v>243</v>
      </c>
      <c r="C75" s="96"/>
      <c r="D75" s="96"/>
      <c r="E75" s="96"/>
      <c r="F75" s="127">
        <v>0.47</v>
      </c>
      <c r="G75" s="127">
        <v>0.35</v>
      </c>
      <c r="H75" s="7"/>
      <c r="I75" s="7"/>
      <c r="J75" s="7"/>
      <c r="K75" s="7"/>
    </row>
    <row r="76" spans="1:11">
      <c r="A76" s="96"/>
      <c r="B76" s="96"/>
      <c r="C76" s="96"/>
      <c r="D76" s="96"/>
      <c r="E76" s="96"/>
      <c r="F76" s="96"/>
      <c r="G76" s="96"/>
      <c r="H76" s="7"/>
      <c r="I76" s="7"/>
      <c r="J76" s="7"/>
      <c r="K76" s="7"/>
    </row>
    <row r="77" spans="1:11">
      <c r="A77" s="96"/>
      <c r="B77" s="96" t="s">
        <v>244</v>
      </c>
      <c r="C77" s="96" t="s">
        <v>2</v>
      </c>
      <c r="D77" s="90">
        <v>0.47</v>
      </c>
      <c r="E77" s="96"/>
      <c r="F77" s="96"/>
      <c r="G77" s="96"/>
      <c r="H77" s="7"/>
      <c r="I77" s="7"/>
      <c r="J77" s="7"/>
      <c r="K77" s="7"/>
    </row>
    <row r="78" spans="1:11">
      <c r="A78" s="96"/>
      <c r="B78" s="96"/>
      <c r="C78" s="96"/>
      <c r="D78" s="96"/>
      <c r="E78" s="96"/>
      <c r="F78" s="96"/>
      <c r="G78" s="96"/>
      <c r="H78" s="7"/>
      <c r="I78" s="7"/>
      <c r="J78" s="7"/>
      <c r="K78" s="7"/>
    </row>
    <row r="79" spans="1:11">
      <c r="A79" s="96" t="s">
        <v>245</v>
      </c>
      <c r="B79" s="96"/>
      <c r="C79" s="96"/>
      <c r="D79" s="96"/>
      <c r="E79" s="96"/>
      <c r="F79" s="96"/>
      <c r="G79" s="96"/>
      <c r="H79" s="7"/>
      <c r="I79" s="7"/>
      <c r="J79" s="7"/>
      <c r="K79" s="7"/>
    </row>
    <row r="80" spans="1:11">
      <c r="A80" s="96"/>
      <c r="B80" s="96"/>
      <c r="C80" s="96"/>
      <c r="D80" s="96">
        <f>+E26*D77*1000</f>
        <v>7050</v>
      </c>
      <c r="E80" s="96" t="s">
        <v>255</v>
      </c>
      <c r="F80" s="96"/>
      <c r="G80" s="96"/>
      <c r="H80" s="7"/>
      <c r="I80" s="7"/>
      <c r="J80" s="7"/>
      <c r="K80" s="7"/>
    </row>
    <row r="81" spans="1:11">
      <c r="A81" s="96"/>
      <c r="B81" s="96"/>
      <c r="C81" s="96"/>
      <c r="D81" s="96"/>
      <c r="E81" s="96"/>
      <c r="F81" s="96"/>
      <c r="G81" s="96"/>
      <c r="H81" s="7"/>
      <c r="I81" s="7"/>
      <c r="J81" s="7"/>
      <c r="K81" s="7"/>
    </row>
    <row r="82" spans="1:11">
      <c r="A82" s="96" t="s">
        <v>246</v>
      </c>
      <c r="B82" s="96"/>
      <c r="C82" s="96"/>
      <c r="D82" s="96"/>
      <c r="E82" s="96"/>
      <c r="F82" s="96"/>
      <c r="G82" s="96"/>
      <c r="H82" s="7"/>
      <c r="I82" s="7"/>
      <c r="J82" s="7"/>
      <c r="K82" s="7"/>
    </row>
    <row r="83" spans="1:11">
      <c r="A83" s="96"/>
      <c r="B83" s="96"/>
      <c r="C83" s="96"/>
      <c r="D83" s="96"/>
      <c r="E83" s="96"/>
      <c r="F83" s="96"/>
      <c r="G83" s="96"/>
      <c r="H83" s="7"/>
      <c r="I83" s="7"/>
      <c r="J83" s="7"/>
      <c r="K83" s="7"/>
    </row>
    <row r="84" spans="1:11">
      <c r="A84" s="96" t="s">
        <v>247</v>
      </c>
      <c r="B84" s="96"/>
      <c r="C84" s="96"/>
      <c r="D84" s="98">
        <f>1.56*$E$24/($D$80*SQRT(E65))</f>
        <v>0.71076111464308134</v>
      </c>
      <c r="E84" s="96" t="s">
        <v>27</v>
      </c>
      <c r="F84" s="96"/>
      <c r="G84" s="96"/>
      <c r="H84" s="7"/>
      <c r="I84" s="7"/>
      <c r="J84" s="7"/>
      <c r="K84" s="7"/>
    </row>
    <row r="85" spans="1:11">
      <c r="A85" s="292" t="s">
        <v>576</v>
      </c>
      <c r="B85" s="96"/>
      <c r="C85" s="96"/>
      <c r="D85" s="98">
        <f>1.56*$E$24/($D$80*SQRT(E66))</f>
        <v>0.61306542640738793</v>
      </c>
      <c r="E85" s="96" t="s">
        <v>27</v>
      </c>
      <c r="F85" s="96"/>
      <c r="G85" s="96"/>
      <c r="H85" s="7"/>
      <c r="I85" s="7"/>
      <c r="J85" s="7"/>
      <c r="K85" s="7"/>
    </row>
    <row r="86" spans="1:11" ht="13.5" thickBot="1">
      <c r="A86" s="96"/>
      <c r="B86" s="96"/>
      <c r="C86" s="96"/>
      <c r="D86" s="98"/>
      <c r="E86" s="96"/>
      <c r="F86" s="96"/>
      <c r="G86" s="96"/>
      <c r="H86" s="7"/>
      <c r="I86" s="7"/>
      <c r="J86" s="7"/>
      <c r="K86" s="7"/>
    </row>
    <row r="87" spans="1:11">
      <c r="A87" s="270" t="s">
        <v>498</v>
      </c>
      <c r="B87" s="263"/>
      <c r="C87" s="263"/>
      <c r="D87" s="271"/>
      <c r="E87" s="264"/>
      <c r="F87" s="96"/>
      <c r="G87" s="96"/>
      <c r="H87" s="7"/>
      <c r="I87" s="7"/>
      <c r="J87" s="7"/>
      <c r="K87" s="7"/>
    </row>
    <row r="88" spans="1:11">
      <c r="A88" s="265" t="s">
        <v>247</v>
      </c>
      <c r="B88" s="104"/>
      <c r="C88" s="104"/>
      <c r="D88" s="351">
        <f>+D84*1.41</f>
        <v>1.0021731716467446</v>
      </c>
      <c r="E88" s="266" t="s">
        <v>27</v>
      </c>
      <c r="F88" s="96"/>
      <c r="G88" s="96"/>
      <c r="H88" s="7"/>
      <c r="I88" s="7"/>
      <c r="J88" s="7"/>
      <c r="K88" s="7"/>
    </row>
    <row r="89" spans="1:11" ht="13.5" thickBot="1">
      <c r="A89" s="366" t="s">
        <v>576</v>
      </c>
      <c r="B89" s="274"/>
      <c r="C89" s="274"/>
      <c r="D89" s="352">
        <f>+D85*1.41</f>
        <v>0.86442225123441696</v>
      </c>
      <c r="E89" s="269" t="s">
        <v>27</v>
      </c>
      <c r="F89" s="96"/>
      <c r="G89" s="96"/>
      <c r="H89" s="7"/>
      <c r="I89" s="7"/>
      <c r="J89" s="7"/>
      <c r="K89" s="7"/>
    </row>
    <row r="90" spans="1:11">
      <c r="A90" s="468"/>
      <c r="B90" s="104"/>
      <c r="C90" s="104"/>
      <c r="D90" s="351"/>
      <c r="E90" s="104"/>
      <c r="F90" s="96"/>
      <c r="G90" s="96"/>
      <c r="H90" s="7"/>
      <c r="I90" s="7"/>
      <c r="J90" s="7"/>
      <c r="K90" s="7"/>
    </row>
    <row r="91" spans="1:11">
      <c r="A91" s="292" t="s">
        <v>616</v>
      </c>
      <c r="B91" s="96"/>
      <c r="C91" s="96"/>
      <c r="D91" s="98"/>
      <c r="E91" s="96"/>
      <c r="F91" s="96"/>
      <c r="G91" s="96"/>
      <c r="H91" s="7"/>
      <c r="I91" s="7"/>
      <c r="J91" s="7"/>
      <c r="K91" s="7"/>
    </row>
    <row r="92" spans="1:11">
      <c r="A92" s="292" t="s">
        <v>500</v>
      </c>
      <c r="B92" s="96"/>
      <c r="C92" s="96"/>
      <c r="D92" s="98"/>
      <c r="E92" s="96"/>
      <c r="F92" s="96"/>
      <c r="G92" s="96"/>
      <c r="H92" s="7"/>
      <c r="I92" s="7"/>
      <c r="J92" s="7"/>
      <c r="K92" s="7"/>
    </row>
    <row r="93" spans="1:11">
      <c r="A93" s="292" t="s">
        <v>501</v>
      </c>
      <c r="B93" s="96"/>
      <c r="C93" s="96"/>
      <c r="D93" s="98"/>
      <c r="E93" s="96"/>
      <c r="F93" s="96"/>
      <c r="G93" s="96"/>
      <c r="H93" s="7"/>
      <c r="I93" s="7"/>
      <c r="J93" s="7"/>
      <c r="K93" s="7"/>
    </row>
    <row r="94" spans="1:11">
      <c r="A94" s="96"/>
      <c r="B94" s="96"/>
      <c r="C94" s="96"/>
      <c r="D94" s="98"/>
      <c r="E94" s="96"/>
      <c r="F94" s="96"/>
      <c r="G94" s="96"/>
      <c r="H94" s="7"/>
      <c r="I94" s="7"/>
      <c r="J94" s="7"/>
      <c r="K94" s="7"/>
    </row>
    <row r="95" spans="1:11">
      <c r="A95" s="292" t="s">
        <v>502</v>
      </c>
      <c r="B95" s="96"/>
      <c r="C95" s="96"/>
      <c r="D95" s="98"/>
      <c r="E95" s="96"/>
      <c r="F95" s="96"/>
      <c r="G95" s="96"/>
      <c r="H95" s="7"/>
      <c r="I95" s="7"/>
      <c r="J95" s="7"/>
      <c r="K95" s="7"/>
    </row>
    <row r="96" spans="1:11">
      <c r="A96" s="96" t="s">
        <v>247</v>
      </c>
      <c r="B96" s="96"/>
      <c r="C96" s="96"/>
      <c r="D96" s="98">
        <f>+D88*2</f>
        <v>2.0043463432934892</v>
      </c>
      <c r="E96" s="96" t="s">
        <v>27</v>
      </c>
      <c r="F96" s="96"/>
      <c r="G96" s="96"/>
      <c r="H96" s="7"/>
      <c r="I96" s="7"/>
      <c r="J96" s="7"/>
      <c r="K96" s="7"/>
    </row>
    <row r="97" spans="1:11">
      <c r="A97" s="292" t="s">
        <v>576</v>
      </c>
      <c r="B97" s="96"/>
      <c r="C97" s="96"/>
      <c r="D97" s="98">
        <f>+D89*2</f>
        <v>1.7288445024688339</v>
      </c>
      <c r="E97" s="96" t="s">
        <v>27</v>
      </c>
      <c r="F97" s="96"/>
      <c r="G97" s="96"/>
      <c r="H97" s="7"/>
      <c r="I97" s="7"/>
      <c r="J97" s="7"/>
      <c r="K97" s="7"/>
    </row>
    <row r="98" spans="1:11">
      <c r="A98" s="96"/>
      <c r="B98" s="96"/>
      <c r="C98" s="96"/>
      <c r="D98" s="96"/>
      <c r="E98" s="96"/>
      <c r="F98" s="96"/>
      <c r="G98" s="96"/>
      <c r="H98" s="7"/>
      <c r="I98" s="7"/>
      <c r="J98" s="7"/>
      <c r="K98" s="7"/>
    </row>
    <row r="99" spans="1:11">
      <c r="A99" s="96" t="s">
        <v>320</v>
      </c>
      <c r="B99" s="96"/>
      <c r="C99" s="96"/>
      <c r="D99" s="96"/>
      <c r="E99" s="96"/>
      <c r="F99" s="96"/>
      <c r="G99" s="96"/>
      <c r="H99" s="7"/>
      <c r="I99" s="7"/>
      <c r="J99" s="7"/>
      <c r="K99" s="7"/>
    </row>
    <row r="100" spans="1:11">
      <c r="A100" s="292" t="s">
        <v>668</v>
      </c>
      <c r="B100" s="96"/>
      <c r="C100" s="96"/>
      <c r="D100" s="96"/>
      <c r="E100" s="96"/>
      <c r="F100" s="96"/>
      <c r="G100" s="96"/>
      <c r="H100" s="7"/>
      <c r="I100" s="7"/>
      <c r="J100" s="7"/>
      <c r="K100" s="7"/>
    </row>
    <row r="101" spans="1:11">
      <c r="A101" s="96" t="s">
        <v>669</v>
      </c>
      <c r="B101" s="96"/>
      <c r="C101" s="96"/>
      <c r="D101" s="96"/>
      <c r="E101" s="96"/>
      <c r="F101" s="96"/>
      <c r="G101" s="96"/>
      <c r="H101" s="7"/>
      <c r="I101" s="7"/>
      <c r="J101" s="7"/>
      <c r="K101" s="7"/>
    </row>
    <row r="102" spans="1:11">
      <c r="A102" s="96"/>
      <c r="B102" s="96"/>
      <c r="C102" s="96"/>
      <c r="D102" s="96"/>
      <c r="E102" s="96"/>
      <c r="F102" s="96"/>
      <c r="G102" s="96"/>
      <c r="H102" s="7"/>
      <c r="I102" s="7"/>
      <c r="J102" s="7"/>
      <c r="K102" s="7"/>
    </row>
    <row r="103" spans="1:11">
      <c r="A103" s="96" t="s">
        <v>248</v>
      </c>
      <c r="B103" s="96"/>
      <c r="C103" s="96"/>
      <c r="D103" s="96"/>
      <c r="E103" s="96"/>
      <c r="F103" s="96"/>
      <c r="G103" s="96"/>
      <c r="H103" s="7"/>
      <c r="I103" s="7"/>
      <c r="J103" s="7"/>
      <c r="K103" s="7"/>
    </row>
    <row r="104" spans="1:11">
      <c r="A104" s="96"/>
      <c r="B104" s="96"/>
      <c r="C104" s="96"/>
      <c r="D104" s="96"/>
      <c r="E104" s="96"/>
      <c r="F104" s="96"/>
      <c r="G104" s="96"/>
      <c r="H104" s="7"/>
      <c r="I104" s="7"/>
      <c r="J104" s="7"/>
      <c r="K104" s="7"/>
    </row>
    <row r="105" spans="1:11">
      <c r="A105" s="96" t="s">
        <v>249</v>
      </c>
      <c r="B105" s="96"/>
      <c r="C105" s="96"/>
      <c r="D105" s="96"/>
      <c r="E105" s="96"/>
      <c r="F105" s="96"/>
      <c r="G105" s="96"/>
      <c r="H105" s="7"/>
      <c r="I105" s="7"/>
      <c r="J105" s="7"/>
      <c r="K105" s="7"/>
    </row>
    <row r="106" spans="1:11">
      <c r="A106" s="96"/>
      <c r="B106" s="96"/>
      <c r="C106" s="96"/>
      <c r="D106" s="96"/>
      <c r="E106" s="96"/>
      <c r="F106" s="96"/>
      <c r="G106" s="96"/>
      <c r="H106" s="7"/>
      <c r="I106" s="7"/>
      <c r="J106" s="7"/>
      <c r="K106" s="7"/>
    </row>
    <row r="107" spans="1:11">
      <c r="A107" s="96" t="s">
        <v>250</v>
      </c>
      <c r="B107" s="96"/>
      <c r="C107" s="96">
        <v>1</v>
      </c>
      <c r="D107" s="96"/>
      <c r="E107" s="96"/>
      <c r="F107" s="96"/>
      <c r="G107" s="96"/>
      <c r="H107" s="7"/>
      <c r="I107" s="7"/>
      <c r="J107" s="7"/>
      <c r="K107" s="7"/>
    </row>
    <row r="108" spans="1:11">
      <c r="A108" s="96" t="s">
        <v>251</v>
      </c>
      <c r="B108" s="96"/>
      <c r="C108" s="96">
        <v>0.8</v>
      </c>
      <c r="D108" s="96"/>
      <c r="E108" s="96"/>
      <c r="F108" s="96"/>
      <c r="G108" s="96"/>
      <c r="H108" s="7"/>
      <c r="I108" s="7"/>
      <c r="J108" s="7"/>
      <c r="K108" s="7"/>
    </row>
    <row r="109" spans="1:11">
      <c r="A109" s="96" t="s">
        <v>252</v>
      </c>
      <c r="B109" s="96"/>
      <c r="C109" s="96">
        <v>0.6</v>
      </c>
      <c r="D109" s="96"/>
      <c r="E109" s="96"/>
      <c r="F109" s="96"/>
      <c r="G109" s="96"/>
      <c r="H109" s="7"/>
      <c r="I109" s="7"/>
      <c r="J109" s="7"/>
      <c r="K109" s="7"/>
    </row>
    <row r="110" spans="1:11">
      <c r="A110" s="96"/>
      <c r="B110" s="96"/>
      <c r="C110" s="96"/>
      <c r="D110" s="96"/>
      <c r="E110" s="96"/>
      <c r="F110" s="96"/>
      <c r="G110" s="96"/>
      <c r="H110" s="7"/>
      <c r="I110" s="7"/>
      <c r="J110" s="7"/>
      <c r="K110" s="7"/>
    </row>
    <row r="111" spans="1:11">
      <c r="A111" s="292" t="s">
        <v>507</v>
      </c>
      <c r="B111" s="96"/>
      <c r="C111" s="96"/>
      <c r="D111" s="96"/>
      <c r="E111" s="96"/>
      <c r="F111" s="96"/>
      <c r="G111" s="126" t="s">
        <v>2</v>
      </c>
      <c r="H111" s="126"/>
      <c r="I111" s="7"/>
      <c r="J111" s="7"/>
      <c r="K111" s="7"/>
    </row>
    <row r="112" spans="1:11" ht="13.5" thickBot="1">
      <c r="A112" s="292"/>
      <c r="B112" s="96"/>
      <c r="C112" s="96"/>
      <c r="D112" s="96"/>
      <c r="E112" s="96"/>
      <c r="F112" s="96"/>
      <c r="G112" s="126"/>
      <c r="H112" s="126"/>
      <c r="I112" s="7"/>
      <c r="J112" s="7"/>
      <c r="K112" s="7"/>
    </row>
    <row r="113" spans="1:11">
      <c r="A113" s="292"/>
      <c r="B113" s="96"/>
      <c r="C113" s="270" t="s">
        <v>504</v>
      </c>
      <c r="D113" s="264"/>
      <c r="E113" s="270" t="s">
        <v>505</v>
      </c>
      <c r="F113" s="300"/>
      <c r="G113" s="301" t="s">
        <v>506</v>
      </c>
      <c r="H113" s="28"/>
      <c r="I113" s="126"/>
      <c r="J113" s="7"/>
      <c r="K113" s="7"/>
    </row>
    <row r="114" spans="1:11" ht="13.5" thickBot="1">
      <c r="A114" s="292"/>
      <c r="B114" s="96"/>
      <c r="C114" s="302" t="s">
        <v>108</v>
      </c>
      <c r="D114" s="303" t="s">
        <v>503</v>
      </c>
      <c r="E114" s="302" t="s">
        <v>108</v>
      </c>
      <c r="F114" s="303" t="s">
        <v>503</v>
      </c>
      <c r="G114" s="302" t="s">
        <v>108</v>
      </c>
      <c r="H114" s="303" t="s">
        <v>503</v>
      </c>
      <c r="I114" s="126"/>
      <c r="J114" s="7"/>
      <c r="K114" s="7"/>
    </row>
    <row r="115" spans="1:11" ht="13.5" thickBot="1">
      <c r="A115" s="95"/>
      <c r="B115" s="304" t="s">
        <v>318</v>
      </c>
      <c r="C115" s="305">
        <f>+D88</f>
        <v>1.0021731716467446</v>
      </c>
      <c r="D115" s="306">
        <f>+D88/superficies!D23</f>
        <v>9.1837174950446243E-3</v>
      </c>
      <c r="E115" s="307">
        <f>+D96</f>
        <v>2.0043463432934892</v>
      </c>
      <c r="F115" s="306">
        <f>+D96/superficies!D23</f>
        <v>1.8367434990089249E-2</v>
      </c>
      <c r="G115" s="307">
        <f>+E115+C115</f>
        <v>3.0065195149402335</v>
      </c>
      <c r="H115" s="308">
        <f>+F115+D115</f>
        <v>2.7551152485133873E-2</v>
      </c>
      <c r="I115" s="7"/>
      <c r="J115" s="7"/>
      <c r="K115" s="7"/>
    </row>
    <row r="116" spans="1:11" ht="13.5" thickBot="1">
      <c r="A116" s="96"/>
      <c r="B116" s="309" t="s">
        <v>319</v>
      </c>
      <c r="C116" s="310">
        <f>+D89</f>
        <v>0.86442225123441696</v>
      </c>
      <c r="D116" s="311">
        <f>+D89/superficies!D23</f>
        <v>7.9213952003153905E-3</v>
      </c>
      <c r="E116" s="312">
        <f>+D97</f>
        <v>1.7288445024688339</v>
      </c>
      <c r="F116" s="311">
        <f>+D97/superficies!D23</f>
        <v>1.5842790400630781E-2</v>
      </c>
      <c r="G116" s="307">
        <f>+E116+C116</f>
        <v>2.5932667537032508</v>
      </c>
      <c r="H116" s="313">
        <f>+F116+D116</f>
        <v>2.3764185600946171E-2</v>
      </c>
      <c r="I116" s="7"/>
      <c r="J116" s="7"/>
      <c r="K116" s="7"/>
    </row>
    <row r="117" spans="1:11">
      <c r="A117" s="96"/>
      <c r="B117" s="292" t="s">
        <v>509</v>
      </c>
      <c r="C117" s="96"/>
      <c r="D117" s="96"/>
      <c r="E117" s="96"/>
      <c r="F117" s="96"/>
      <c r="G117" s="7"/>
      <c r="H117" s="7"/>
      <c r="I117" s="7"/>
      <c r="J117" s="7"/>
      <c r="K117" s="7"/>
    </row>
    <row r="118" spans="1:11">
      <c r="A118" s="96"/>
      <c r="B118" s="292" t="s">
        <v>510</v>
      </c>
      <c r="C118" s="96"/>
      <c r="D118" s="96"/>
      <c r="E118" s="96"/>
      <c r="F118" s="96"/>
      <c r="G118" s="96"/>
      <c r="H118" s="7"/>
      <c r="I118" s="7"/>
      <c r="J118" s="7"/>
      <c r="K118" s="7"/>
    </row>
    <row r="119" spans="1:11">
      <c r="A119" s="96"/>
      <c r="B119" s="292"/>
      <c r="C119" s="96"/>
      <c r="D119" s="96"/>
      <c r="E119" s="96"/>
      <c r="F119" s="96"/>
      <c r="G119" s="96"/>
      <c r="H119" s="7"/>
      <c r="I119" s="7"/>
      <c r="J119" s="7"/>
      <c r="K119" s="7"/>
    </row>
    <row r="120" spans="1:11">
      <c r="A120" s="96" t="s">
        <v>253</v>
      </c>
      <c r="B120" s="96"/>
      <c r="C120" s="96"/>
      <c r="D120" s="96"/>
      <c r="E120" s="96"/>
      <c r="F120" s="96"/>
      <c r="G120" s="96"/>
      <c r="H120" s="7"/>
      <c r="I120" s="7"/>
      <c r="J120" s="7"/>
      <c r="K120" s="7"/>
    </row>
    <row r="121" spans="1:11">
      <c r="A121" s="96" t="s">
        <v>254</v>
      </c>
      <c r="B121" s="96"/>
      <c r="C121" s="96"/>
      <c r="D121" s="96"/>
      <c r="E121" s="96"/>
      <c r="F121" s="96"/>
      <c r="G121" s="96"/>
      <c r="H121" s="7"/>
      <c r="I121" s="7"/>
      <c r="J121" s="7"/>
      <c r="K121" s="7"/>
    </row>
    <row r="122" spans="1:11" ht="13.5" thickBot="1">
      <c r="A122" s="7"/>
      <c r="B122" s="7"/>
      <c r="C122" s="7"/>
      <c r="D122" s="7"/>
      <c r="E122" s="7"/>
      <c r="F122" s="96"/>
      <c r="G122" s="96"/>
      <c r="H122" s="7"/>
      <c r="I122" s="7"/>
      <c r="J122" s="7"/>
      <c r="K122" s="7"/>
    </row>
    <row r="123" spans="1:11">
      <c r="A123" s="469" t="s">
        <v>617</v>
      </c>
      <c r="B123" s="470"/>
      <c r="C123" s="470"/>
      <c r="D123" s="470"/>
      <c r="E123" s="470"/>
      <c r="F123" s="471"/>
      <c r="G123" s="471"/>
      <c r="H123" s="470"/>
      <c r="I123" s="470"/>
      <c r="J123" s="470"/>
      <c r="K123" s="475"/>
    </row>
    <row r="124" spans="1:11" ht="13.5" thickBot="1">
      <c r="A124" s="472" t="s">
        <v>618</v>
      </c>
      <c r="B124" s="473"/>
      <c r="C124" s="474"/>
      <c r="D124" s="474"/>
      <c r="E124" s="474"/>
      <c r="F124" s="474"/>
      <c r="G124" s="474"/>
      <c r="H124" s="474"/>
      <c r="I124" s="474"/>
      <c r="J124" s="474"/>
      <c r="K124" s="476"/>
    </row>
  </sheetData>
  <phoneticPr fontId="14" type="noConversion"/>
  <pageMargins left="0.75" right="0.75" top="1" bottom="1" header="0" footer="0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Lugar</vt:lpstr>
      <vt:lpstr>superficies</vt:lpstr>
      <vt:lpstr>Balance calefacción</vt:lpstr>
      <vt:lpstr>K comp</vt:lpstr>
      <vt:lpstr>Balance enfriamiento</vt:lpstr>
      <vt:lpstr>Enf. convectivo nocturno</vt:lpstr>
      <vt:lpstr>Masa Térmica</vt:lpstr>
      <vt:lpstr>Ventilación natural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AlfredoE</dc:creator>
  <cp:lastModifiedBy>Usuario</cp:lastModifiedBy>
  <cp:lastPrinted>2001-08-30T19:41:20Z</cp:lastPrinted>
  <dcterms:created xsi:type="dcterms:W3CDTF">2000-05-22T21:06:38Z</dcterms:created>
  <dcterms:modified xsi:type="dcterms:W3CDTF">2024-07-30T00:10:13Z</dcterms:modified>
</cp:coreProperties>
</file>