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ar\Documents\998 Personales\17 Concursos Economia\Civil - Presentación\"/>
    </mc:Choice>
  </mc:AlternateContent>
  <bookViews>
    <workbookView xWindow="0" yWindow="0" windowWidth="17256" windowHeight="424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2" i="1"/>
  <c r="E11" i="1"/>
  <c r="E10" i="1"/>
  <c r="J8" i="1"/>
  <c r="I8" i="1"/>
  <c r="F29" i="1"/>
  <c r="G29" i="1" s="1"/>
  <c r="B30" i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N19" i="1"/>
  <c r="M19" i="1"/>
  <c r="K19" i="1"/>
  <c r="I19" i="1"/>
  <c r="H19" i="1"/>
  <c r="D12" i="1"/>
  <c r="D11" i="1"/>
  <c r="D10" i="1"/>
  <c r="G8" i="1"/>
  <c r="C19" i="1" s="1"/>
  <c r="D19" i="1" l="1"/>
  <c r="K8" i="1"/>
  <c r="C10" i="1" s="1"/>
  <c r="D29" i="1"/>
  <c r="H30" i="1" s="1"/>
  <c r="G10" i="1"/>
  <c r="B11" i="1"/>
  <c r="B12" i="1" s="1"/>
  <c r="I10" i="1" l="1"/>
  <c r="J10" i="1"/>
  <c r="P19" i="1"/>
  <c r="E29" i="1"/>
  <c r="K10" i="1" l="1"/>
  <c r="C11" i="1" s="1"/>
  <c r="G11" i="1" s="1"/>
  <c r="P21" i="1"/>
  <c r="P22" i="1" s="1"/>
  <c r="P23" i="1" s="1"/>
  <c r="C29" i="1"/>
  <c r="C30" i="1" l="1"/>
  <c r="J29" i="1"/>
  <c r="D30" i="1"/>
  <c r="H31" i="1" s="1"/>
  <c r="I29" i="1"/>
  <c r="I11" i="1"/>
  <c r="J11" i="1"/>
  <c r="F30" i="1"/>
  <c r="J30" i="1" l="1"/>
  <c r="C31" i="1"/>
  <c r="E30" i="1"/>
  <c r="I30" i="1"/>
  <c r="D31" i="1"/>
  <c r="H32" i="1" s="1"/>
  <c r="K29" i="1"/>
  <c r="L29" i="1"/>
  <c r="K11" i="1"/>
  <c r="C12" i="1" s="1"/>
  <c r="J12" i="1" s="1"/>
  <c r="G30" i="1"/>
  <c r="F31" i="1"/>
  <c r="D32" i="1"/>
  <c r="H33" i="1" s="1"/>
  <c r="E31" i="1"/>
  <c r="I31" i="1"/>
  <c r="K30" i="1" l="1"/>
  <c r="C32" i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J31" i="1"/>
  <c r="L30" i="1"/>
  <c r="K31" i="1"/>
  <c r="L31" i="1"/>
  <c r="E32" i="1"/>
  <c r="G12" i="1"/>
  <c r="I12" i="1"/>
  <c r="F32" i="1"/>
  <c r="G31" i="1"/>
  <c r="D33" i="1"/>
  <c r="H34" i="1" s="1"/>
  <c r="I32" i="1" l="1"/>
  <c r="J32" i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K32" i="1"/>
  <c r="L32" i="1"/>
  <c r="G32" i="1"/>
  <c r="D34" i="1"/>
  <c r="H35" i="1" s="1"/>
  <c r="I33" i="1"/>
  <c r="E33" i="1"/>
  <c r="E34" i="1" s="1"/>
  <c r="F33" i="1"/>
  <c r="F34" i="1" s="1"/>
  <c r="K12" i="1"/>
  <c r="K33" i="1" l="1"/>
  <c r="L33" i="1"/>
  <c r="D35" i="1"/>
  <c r="H36" i="1" s="1"/>
  <c r="I34" i="1"/>
  <c r="E35" i="1"/>
  <c r="G33" i="1"/>
  <c r="K34" i="1" l="1"/>
  <c r="L34" i="1"/>
  <c r="G34" i="1"/>
  <c r="D36" i="1"/>
  <c r="H37" i="1" s="1"/>
  <c r="I35" i="1"/>
  <c r="F35" i="1"/>
  <c r="F36" i="1" s="1"/>
  <c r="K35" i="1" l="1"/>
  <c r="L35" i="1"/>
  <c r="D37" i="1"/>
  <c r="H38" i="1" s="1"/>
  <c r="I36" i="1"/>
  <c r="E36" i="1"/>
  <c r="G35" i="1"/>
  <c r="K36" i="1" l="1"/>
  <c r="L36" i="1"/>
  <c r="E37" i="1"/>
  <c r="G36" i="1"/>
  <c r="D38" i="1"/>
  <c r="H39" i="1" s="1"/>
  <c r="I37" i="1"/>
  <c r="F37" i="1"/>
  <c r="F38" i="1" s="1"/>
  <c r="K37" i="1" l="1"/>
  <c r="L37" i="1"/>
  <c r="E38" i="1"/>
  <c r="D39" i="1"/>
  <c r="F39" i="1" s="1"/>
  <c r="I38" i="1"/>
  <c r="G37" i="1"/>
  <c r="K38" i="1" l="1"/>
  <c r="L38" i="1"/>
  <c r="H40" i="1"/>
  <c r="G38" i="1"/>
  <c r="G39" i="1"/>
  <c r="D40" i="1"/>
  <c r="I39" i="1"/>
  <c r="E39" i="1"/>
  <c r="E40" i="1" s="1"/>
  <c r="K39" i="1" l="1"/>
  <c r="L39" i="1"/>
  <c r="H41" i="1"/>
  <c r="D41" i="1"/>
  <c r="I40" i="1"/>
  <c r="F40" i="1"/>
  <c r="F41" i="1" s="1"/>
  <c r="K40" i="1" l="1"/>
  <c r="L40" i="1"/>
  <c r="H42" i="1"/>
  <c r="G40" i="1"/>
  <c r="D42" i="1"/>
  <c r="I42" i="1" s="1"/>
  <c r="I41" i="1"/>
  <c r="E41" i="1"/>
  <c r="E42" i="1" s="1"/>
  <c r="K41" i="1" l="1"/>
  <c r="L41" i="1"/>
  <c r="G41" i="1"/>
  <c r="F42" i="1"/>
  <c r="K42" i="1" l="1"/>
  <c r="L42" i="1"/>
  <c r="G42" i="1"/>
</calcChain>
</file>

<file path=xl/sharedStrings.xml><?xml version="1.0" encoding="utf-8"?>
<sst xmlns="http://schemas.openxmlformats.org/spreadsheetml/2006/main" count="112" uniqueCount="83">
  <si>
    <t>Año</t>
  </si>
  <si>
    <t>Costo Operación Anual</t>
  </si>
  <si>
    <t>Depreciación</t>
  </si>
  <si>
    <t>(D)</t>
  </si>
  <si>
    <t>Valor Adquisición</t>
  </si>
  <si>
    <t>Valor Residual</t>
  </si>
  <si>
    <t>(Va)</t>
  </si>
  <si>
    <t>(Vr)</t>
  </si>
  <si>
    <t>(Ve)</t>
  </si>
  <si>
    <t>Vida Util (años)</t>
  </si>
  <si>
    <t xml:space="preserve">Horas al año </t>
  </si>
  <si>
    <t>(Ha)</t>
  </si>
  <si>
    <t>Quién lo da?</t>
  </si>
  <si>
    <t>Compras de la Empresa</t>
  </si>
  <si>
    <t>Area Taller o Equipos</t>
  </si>
  <si>
    <t>Manual del Equipo o Taller</t>
  </si>
  <si>
    <t>Referencia</t>
  </si>
  <si>
    <t>(Va - Vr) / (Ve x Ha)</t>
  </si>
  <si>
    <t>($/hr)</t>
  </si>
  <si>
    <t>($)</t>
  </si>
  <si>
    <t>(años)</t>
  </si>
  <si>
    <t>(horas)</t>
  </si>
  <si>
    <t>Depreciación Anual</t>
  </si>
  <si>
    <t>Tasa de Interes Anual</t>
  </si>
  <si>
    <t>(I)</t>
  </si>
  <si>
    <t>(%)</t>
  </si>
  <si>
    <t>Banco Comercial</t>
  </si>
  <si>
    <t>Interes del Capital</t>
  </si>
  <si>
    <t>Seguros</t>
  </si>
  <si>
    <t>(Ic)</t>
  </si>
  <si>
    <t>(S)</t>
  </si>
  <si>
    <t>Tasa de Mercado de aseguradora</t>
  </si>
  <si>
    <t>Calculo de la inversión x 8 años</t>
  </si>
  <si>
    <t>(D + Ic + S)* Ha</t>
  </si>
  <si>
    <t>Calculado para cada equipo</t>
  </si>
  <si>
    <t>Mantenimiento</t>
  </si>
  <si>
    <t>Manual del Equipo 
0,25 * D</t>
  </si>
  <si>
    <t>Repuestos</t>
  </si>
  <si>
    <t>Combustible</t>
  </si>
  <si>
    <t>Potencia</t>
  </si>
  <si>
    <t>(Hp)</t>
  </si>
  <si>
    <t>Costo Combustible</t>
  </si>
  <si>
    <t>($ / l)</t>
  </si>
  <si>
    <t>Compras de la empresa</t>
  </si>
  <si>
    <t>(M)</t>
  </si>
  <si>
    <t>(Re)</t>
  </si>
  <si>
    <t>(Cco)</t>
  </si>
  <si>
    <t>(C)</t>
  </si>
  <si>
    <t>Manual del Equipo 
0,04*Hp*C</t>
  </si>
  <si>
    <t>Lubricantes</t>
  </si>
  <si>
    <t>(L)</t>
  </si>
  <si>
    <t>Manual del Equipo 
0,0013*Hp</t>
  </si>
  <si>
    <t>Piezas Especiales</t>
  </si>
  <si>
    <t>(Pes)</t>
  </si>
  <si>
    <t>Manual del Equipo 
(1,35Vpe/Ha)</t>
  </si>
  <si>
    <t>Valor Piezas Especiales</t>
  </si>
  <si>
    <t>(VPe)</t>
  </si>
  <si>
    <t>Costo de Neumáticos</t>
  </si>
  <si>
    <t>(Ll)</t>
  </si>
  <si>
    <t>Neumáticos</t>
  </si>
  <si>
    <t>(Ne)</t>
  </si>
  <si>
    <t>Manual del Equipo 
Ll/(2,3Ha)</t>
  </si>
  <si>
    <t>Patente / Matrícula</t>
  </si>
  <si>
    <t>(Ma)</t>
  </si>
  <si>
    <t>Area de seguros de la empresa</t>
  </si>
  <si>
    <t>(COA)</t>
  </si>
  <si>
    <t>Aumento Costo Operación</t>
  </si>
  <si>
    <t>(Aco)</t>
  </si>
  <si>
    <t>(M+Re+C+L+Pes+Ll+Ne+Ma) * Ha * Aco</t>
  </si>
  <si>
    <t>Costo Total Anual</t>
  </si>
  <si>
    <t>(COA + D)</t>
  </si>
  <si>
    <t>Costo Acumulado Promedio Anual</t>
  </si>
  <si>
    <t>(CA/Año)</t>
  </si>
  <si>
    <t>Depreciación Acumulada</t>
  </si>
  <si>
    <t>Interes de Capital</t>
  </si>
  <si>
    <t>(IC)</t>
  </si>
  <si>
    <t>Interés de Capital Acumulado</t>
  </si>
  <si>
    <t>Inversión Acumulada</t>
  </si>
  <si>
    <t>(D+IC)</t>
  </si>
  <si>
    <t>Manual del Equipo 
0,15 * D</t>
  </si>
  <si>
    <t>Curva Acumulada</t>
  </si>
  <si>
    <t>Costo Acumulado Operativo</t>
  </si>
  <si>
    <t>(CAO)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</si>
</sst>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/>
    <xf numFmtId="164" fontId="0" fillId="0" borderId="11" xfId="1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9" fontId="0" fillId="0" borderId="11" xfId="2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 wrapText="1"/>
    </xf>
    <xf numFmtId="164" fontId="0" fillId="2" borderId="11" xfId="1" applyNumberFormat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43" fontId="0" fillId="0" borderId="11" xfId="1" applyNumberFormat="1" applyFont="1" applyBorder="1" applyAlignment="1">
      <alignment horizontal="center"/>
    </xf>
    <xf numFmtId="43" fontId="0" fillId="0" borderId="11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165" fontId="0" fillId="0" borderId="11" xfId="2" applyNumberFormat="1" applyFont="1" applyBorder="1" applyAlignment="1">
      <alignment horizontal="center"/>
    </xf>
    <xf numFmtId="164" fontId="0" fillId="3" borderId="11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Determinación de Costos de Operación y Reemplazo de Equipos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733086169509339E-2"/>
          <c:y val="0.15487504399859203"/>
          <c:w val="0.8741396186862781"/>
          <c:h val="0.76346966660846383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Hoja1!$J$27</c:f>
              <c:strCache>
                <c:ptCount val="1"/>
                <c:pt idx="0">
                  <c:v>Costo Acumulado Operativo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Hoja1!$B$29:$B$42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Hoja1!$J$29:$J$42</c:f>
              <c:numCache>
                <c:formatCode>_-* #,##0_-;\-* #,##0_-;_-* "-"??_-;_-@_-</c:formatCode>
                <c:ptCount val="14"/>
                <c:pt idx="0">
                  <c:v>12996.372826086958</c:v>
                </c:pt>
                <c:pt idx="1">
                  <c:v>26317.654972826087</c:v>
                </c:pt>
                <c:pt idx="2">
                  <c:v>39971.969173233694</c:v>
                </c:pt>
                <c:pt idx="3">
                  <c:v>53967.64122865149</c:v>
                </c:pt>
                <c:pt idx="4">
                  <c:v>68313.205085454727</c:v>
                </c:pt>
                <c:pt idx="5">
                  <c:v>83017.408038678041</c:v>
                </c:pt>
                <c:pt idx="6">
                  <c:v>98089.216065731947</c:v>
                </c:pt>
                <c:pt idx="7">
                  <c:v>113537.81929346219</c:v>
                </c:pt>
                <c:pt idx="8">
                  <c:v>129372.6376018857</c:v>
                </c:pt>
                <c:pt idx="9">
                  <c:v>145603.3263680198</c:v>
                </c:pt>
                <c:pt idx="10">
                  <c:v>162239.78235330724</c:v>
                </c:pt>
                <c:pt idx="11">
                  <c:v>179292.14973822684</c:v>
                </c:pt>
                <c:pt idx="12">
                  <c:v>196770.82630776946</c:v>
                </c:pt>
                <c:pt idx="13">
                  <c:v>214686.46979155063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C2-4B77-93AA-BFDA2899B1D5}"/>
            </c:ext>
          </c:extLst>
        </c:ser>
        <c:ser>
          <c:idx val="1"/>
          <c:order val="1"/>
          <c:tx>
            <c:strRef>
              <c:f>Hoja1!$H$27</c:f>
              <c:strCache>
                <c:ptCount val="1"/>
                <c:pt idx="0">
                  <c:v>Inversión Acumulada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Hoja1!$B$29:$B$42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Hoja1!$H$29:$H$42</c:f>
              <c:numCache>
                <c:formatCode>_-* #,##0_-;\-* #,##0_-;_-* "-"??_-;_-@_-</c:formatCode>
                <c:ptCount val="14"/>
                <c:pt idx="0">
                  <c:v>200000</c:v>
                </c:pt>
                <c:pt idx="1">
                  <c:v>170000</c:v>
                </c:pt>
                <c:pt idx="2">
                  <c:v>144920</c:v>
                </c:pt>
                <c:pt idx="3">
                  <c:v>123953.12</c:v>
                </c:pt>
                <c:pt idx="4">
                  <c:v>106424.80832</c:v>
                </c:pt>
                <c:pt idx="5">
                  <c:v>91771.139755519995</c:v>
                </c:pt>
                <c:pt idx="6">
                  <c:v>79520.672835614707</c:v>
                </c:pt>
                <c:pt idx="7">
                  <c:v>69279.282490573882</c:v>
                </c:pt>
                <c:pt idx="8">
                  <c:v>60717.480162119755</c:v>
                </c:pt>
                <c:pt idx="9">
                  <c:v>53559.813415532102</c:v>
                </c:pt>
                <c:pt idx="10">
                  <c:v>47576.004015384824</c:v>
                </c:pt>
                <c:pt idx="11">
                  <c:v>42573.5393568617</c:v>
                </c:pt>
                <c:pt idx="12">
                  <c:v>38391.47890233637</c:v>
                </c:pt>
                <c:pt idx="13">
                  <c:v>34895.276362353194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C2-4B77-93AA-BFDA2899B1D5}"/>
            </c:ext>
          </c:extLst>
        </c:ser>
        <c:ser>
          <c:idx val="2"/>
          <c:order val="2"/>
          <c:tx>
            <c:strRef>
              <c:f>Hoja1!$L$27</c:f>
              <c:strCache>
                <c:ptCount val="1"/>
                <c:pt idx="0">
                  <c:v>Curva Acumulada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Hoja1!$B$29:$B$42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Hoja1!$L$29:$L$42</c:f>
              <c:numCache>
                <c:formatCode>_-* #,##0_-;\-* #,##0_-;_-* "-"??_-;_-@_-</c:formatCode>
                <c:ptCount val="14"/>
                <c:pt idx="0">
                  <c:v>212996.37282608697</c:v>
                </c:pt>
                <c:pt idx="1">
                  <c:v>196317.65497282607</c:v>
                </c:pt>
                <c:pt idx="2">
                  <c:v>184891.96917323369</c:v>
                </c:pt>
                <c:pt idx="3">
                  <c:v>177920.76122865148</c:v>
                </c:pt>
                <c:pt idx="4">
                  <c:v>174738.01340545472</c:v>
                </c:pt>
                <c:pt idx="5">
                  <c:v>174788.54779419804</c:v>
                </c:pt>
                <c:pt idx="6">
                  <c:v>177609.88890134665</c:v>
                </c:pt>
                <c:pt idx="7">
                  <c:v>182817.10178403609</c:v>
                </c:pt>
                <c:pt idx="8">
                  <c:v>190090.11776400544</c:v>
                </c:pt>
                <c:pt idx="9">
                  <c:v>199163.13978355192</c:v>
                </c:pt>
                <c:pt idx="10">
                  <c:v>209815.78636869206</c:v>
                </c:pt>
                <c:pt idx="11">
                  <c:v>221865.68909508854</c:v>
                </c:pt>
                <c:pt idx="12">
                  <c:v>235162.30521010584</c:v>
                </c:pt>
                <c:pt idx="13">
                  <c:v>249581.74615390383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AC2-4B77-93AA-BFDA2899B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9998400"/>
        <c:axId val="1879989664"/>
      </c:scatterChart>
      <c:valAx>
        <c:axId val="187999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79989664"/>
        <c:crosses val="autoZero"/>
        <c:crossBetween val="midCat"/>
      </c:valAx>
      <c:valAx>
        <c:axId val="187998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79998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342900</xdr:colOff>
      <xdr:row>0</xdr:row>
      <xdr:rowOff>0</xdr:rowOff>
    </xdr:from>
    <xdr:to>
      <xdr:col>23</xdr:col>
      <xdr:colOff>442449</xdr:colOff>
      <xdr:row>14</xdr:row>
      <xdr:rowOff>533733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8820" y="0"/>
          <a:ext cx="5646909" cy="3848433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</xdr:colOff>
      <xdr:row>2</xdr:row>
      <xdr:rowOff>434340</xdr:rowOff>
    </xdr:from>
    <xdr:to>
      <xdr:col>31</xdr:col>
      <xdr:colOff>221479</xdr:colOff>
      <xdr:row>25</xdr:row>
      <xdr:rowOff>38597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31000" y="800100"/>
          <a:ext cx="5753599" cy="5730737"/>
        </a:xfrm>
        <a:prstGeom prst="rect">
          <a:avLst/>
        </a:prstGeom>
      </xdr:spPr>
    </xdr:pic>
    <xdr:clientData/>
  </xdr:twoCellAnchor>
  <xdr:twoCellAnchor editAs="oneCell">
    <xdr:from>
      <xdr:col>17</xdr:col>
      <xdr:colOff>632460</xdr:colOff>
      <xdr:row>26</xdr:row>
      <xdr:rowOff>152400</xdr:rowOff>
    </xdr:from>
    <xdr:to>
      <xdr:col>23</xdr:col>
      <xdr:colOff>259460</xdr:colOff>
      <xdr:row>30</xdr:row>
      <xdr:rowOff>106787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00860" y="6766560"/>
          <a:ext cx="4381880" cy="1234547"/>
        </a:xfrm>
        <a:prstGeom prst="rect">
          <a:avLst/>
        </a:prstGeom>
      </xdr:spPr>
    </xdr:pic>
    <xdr:clientData/>
  </xdr:twoCellAnchor>
  <xdr:twoCellAnchor editAs="oneCell">
    <xdr:from>
      <xdr:col>17</xdr:col>
      <xdr:colOff>350520</xdr:colOff>
      <xdr:row>15</xdr:row>
      <xdr:rowOff>53340</xdr:rowOff>
    </xdr:from>
    <xdr:to>
      <xdr:col>23</xdr:col>
      <xdr:colOff>68968</xdr:colOff>
      <xdr:row>25</xdr:row>
      <xdr:rowOff>114512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18920" y="4282440"/>
          <a:ext cx="4473328" cy="2446232"/>
        </a:xfrm>
        <a:prstGeom prst="rect">
          <a:avLst/>
        </a:prstGeom>
      </xdr:spPr>
    </xdr:pic>
    <xdr:clientData/>
  </xdr:twoCellAnchor>
  <xdr:twoCellAnchor>
    <xdr:from>
      <xdr:col>12</xdr:col>
      <xdr:colOff>609600</xdr:colOff>
      <xdr:row>26</xdr:row>
      <xdr:rowOff>140970</xdr:rowOff>
    </xdr:from>
    <xdr:to>
      <xdr:col>21</xdr:col>
      <xdr:colOff>403860</xdr:colOff>
      <xdr:row>43</xdr:row>
      <xdr:rowOff>91440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3"/>
  <sheetViews>
    <sheetView tabSelected="1" workbookViewId="0">
      <selection activeCell="B15" sqref="B15:P23"/>
    </sheetView>
  </sheetViews>
  <sheetFormatPr baseColWidth="10" defaultRowHeight="14.4" x14ac:dyDescent="0.3"/>
  <cols>
    <col min="3" max="6" width="12.44140625" customWidth="1"/>
    <col min="7" max="7" width="12.6640625" customWidth="1"/>
    <col min="11" max="11" width="12.6640625" customWidth="1"/>
  </cols>
  <sheetData>
    <row r="3" spans="2:16" ht="15" thickBot="1" x14ac:dyDescent="0.35">
      <c r="C3" s="1"/>
      <c r="D3" s="1"/>
      <c r="E3" s="1"/>
      <c r="F3" s="1"/>
      <c r="M3" s="1"/>
      <c r="N3" s="1"/>
      <c r="O3" s="1"/>
      <c r="P3" s="1"/>
    </row>
    <row r="4" spans="2:16" ht="43.2" x14ac:dyDescent="0.3">
      <c r="B4" s="7" t="s">
        <v>0</v>
      </c>
      <c r="C4" s="8" t="s">
        <v>4</v>
      </c>
      <c r="D4" s="8" t="s">
        <v>5</v>
      </c>
      <c r="E4" s="8" t="s">
        <v>9</v>
      </c>
      <c r="F4" s="8" t="s">
        <v>10</v>
      </c>
      <c r="G4" s="8" t="s">
        <v>2</v>
      </c>
      <c r="H4" s="8" t="s">
        <v>23</v>
      </c>
      <c r="I4" s="8" t="s">
        <v>27</v>
      </c>
      <c r="J4" s="8" t="s">
        <v>28</v>
      </c>
      <c r="K4" s="21" t="s">
        <v>22</v>
      </c>
      <c r="L4" s="2"/>
      <c r="M4" s="2"/>
      <c r="N4" s="2"/>
    </row>
    <row r="5" spans="2:16" x14ac:dyDescent="0.3">
      <c r="B5" s="9"/>
      <c r="C5" s="10" t="s">
        <v>6</v>
      </c>
      <c r="D5" s="10" t="s">
        <v>7</v>
      </c>
      <c r="E5" s="10" t="s">
        <v>8</v>
      </c>
      <c r="F5" s="10" t="s">
        <v>11</v>
      </c>
      <c r="G5" s="10" t="s">
        <v>3</v>
      </c>
      <c r="H5" s="10" t="s">
        <v>24</v>
      </c>
      <c r="I5" s="10" t="s">
        <v>29</v>
      </c>
      <c r="J5" s="10" t="s">
        <v>30</v>
      </c>
      <c r="K5" s="27" t="s">
        <v>19</v>
      </c>
      <c r="L5" s="2"/>
      <c r="M5" s="2"/>
      <c r="N5" s="2"/>
    </row>
    <row r="6" spans="2:16" ht="15" thickBot="1" x14ac:dyDescent="0.35">
      <c r="B6" s="11"/>
      <c r="C6" s="12" t="s">
        <v>19</v>
      </c>
      <c r="D6" s="12" t="s">
        <v>19</v>
      </c>
      <c r="E6" s="12" t="s">
        <v>20</v>
      </c>
      <c r="F6" s="12" t="s">
        <v>21</v>
      </c>
      <c r="G6" s="12" t="s">
        <v>18</v>
      </c>
      <c r="H6" s="12" t="s">
        <v>25</v>
      </c>
      <c r="I6" s="12" t="s">
        <v>18</v>
      </c>
      <c r="J6" s="12"/>
      <c r="K6" s="22"/>
      <c r="L6" s="2"/>
      <c r="M6" s="2"/>
      <c r="N6" s="2"/>
    </row>
    <row r="7" spans="2:16" ht="43.2" x14ac:dyDescent="0.3">
      <c r="B7" s="26" t="s">
        <v>12</v>
      </c>
      <c r="C7" s="13" t="s">
        <v>13</v>
      </c>
      <c r="D7" s="13" t="s">
        <v>14</v>
      </c>
      <c r="E7" s="13" t="s">
        <v>15</v>
      </c>
      <c r="F7" s="13" t="s">
        <v>15</v>
      </c>
      <c r="G7" s="13" t="s">
        <v>17</v>
      </c>
      <c r="H7" s="13" t="s">
        <v>26</v>
      </c>
      <c r="I7" s="13" t="s">
        <v>32</v>
      </c>
      <c r="J7" s="14" t="s">
        <v>31</v>
      </c>
      <c r="K7" s="23" t="s">
        <v>33</v>
      </c>
      <c r="L7" s="2"/>
      <c r="M7" s="2"/>
      <c r="N7" s="2"/>
    </row>
    <row r="8" spans="2:16" x14ac:dyDescent="0.3">
      <c r="B8" s="15" t="s">
        <v>16</v>
      </c>
      <c r="C8" s="16">
        <v>200000</v>
      </c>
      <c r="D8" s="16">
        <v>70000</v>
      </c>
      <c r="E8" s="17">
        <v>10</v>
      </c>
      <c r="F8" s="17">
        <v>995</v>
      </c>
      <c r="G8" s="18">
        <f>+(C8-D8)/(E8*F8)</f>
        <v>13.06532663316583</v>
      </c>
      <c r="H8" s="19">
        <v>0.12</v>
      </c>
      <c r="I8" s="18">
        <f>+(C8+D8)*H8/(2*F8)</f>
        <v>16.281407035175878</v>
      </c>
      <c r="J8" s="18">
        <f>+C8*0.4%/F8</f>
        <v>0.8040201005025126</v>
      </c>
      <c r="K8" s="24">
        <f>+(G8+I8+J8)*F8</f>
        <v>29999.999999999996</v>
      </c>
      <c r="L8" s="2"/>
      <c r="M8" s="2"/>
      <c r="N8" s="2"/>
    </row>
    <row r="9" spans="2:16" x14ac:dyDescent="0.3">
      <c r="B9" s="15"/>
      <c r="C9" s="17"/>
      <c r="D9" s="17"/>
      <c r="E9" s="17"/>
      <c r="F9" s="17"/>
      <c r="G9" s="17"/>
      <c r="H9" s="17"/>
      <c r="I9" s="17"/>
      <c r="J9" s="17"/>
      <c r="K9" s="25"/>
      <c r="L9" s="2"/>
      <c r="M9" s="2"/>
      <c r="N9" s="2"/>
    </row>
    <row r="10" spans="2:16" x14ac:dyDescent="0.3">
      <c r="B10" s="17">
        <v>2</v>
      </c>
      <c r="C10" s="20">
        <f>+C8-K8</f>
        <v>170000</v>
      </c>
      <c r="D10" s="20">
        <f>+D8</f>
        <v>70000</v>
      </c>
      <c r="E10" s="17">
        <f>+E8</f>
        <v>10</v>
      </c>
      <c r="F10" s="17">
        <v>995</v>
      </c>
      <c r="G10" s="18">
        <f>+(C10-D10)/(E10*F10)</f>
        <v>10.050251256281408</v>
      </c>
      <c r="H10" s="19">
        <v>0.12</v>
      </c>
      <c r="I10" s="18">
        <f>+(C10+D10)*H10/(2*F10)</f>
        <v>14.472361809045227</v>
      </c>
      <c r="J10" s="18">
        <f t="shared" ref="J10:J12" si="0">+C10*0.4%/F10</f>
        <v>0.68341708542713564</v>
      </c>
      <c r="K10" s="24">
        <f>+(G10+I10+J10)*F10</f>
        <v>25080</v>
      </c>
      <c r="L10" s="2"/>
      <c r="M10" s="2"/>
      <c r="N10" s="2"/>
    </row>
    <row r="11" spans="2:16" x14ac:dyDescent="0.3">
      <c r="B11" s="17">
        <f>+B10+1</f>
        <v>3</v>
      </c>
      <c r="C11" s="20">
        <f>+C10-K10</f>
        <v>144920</v>
      </c>
      <c r="D11" s="20">
        <f>+D10</f>
        <v>70000</v>
      </c>
      <c r="E11" s="17">
        <f>+E10</f>
        <v>10</v>
      </c>
      <c r="F11" s="17">
        <v>995</v>
      </c>
      <c r="G11" s="18">
        <f t="shared" ref="G11" si="1">+(C11-D11)/(E11*F11)</f>
        <v>7.5296482412060302</v>
      </c>
      <c r="H11" s="19">
        <v>0.12</v>
      </c>
      <c r="I11" s="18">
        <f>+(C11+D11)*H11/(2*F11)</f>
        <v>12.959999999999999</v>
      </c>
      <c r="J11" s="18">
        <f t="shared" si="0"/>
        <v>0.58259296482412071</v>
      </c>
      <c r="K11" s="24">
        <f t="shared" ref="K11" si="2">+(G11+I11+J11)*F11</f>
        <v>20966.879999999997</v>
      </c>
      <c r="L11" s="2"/>
      <c r="M11" s="2"/>
      <c r="N11" s="2"/>
    </row>
    <row r="12" spans="2:16" x14ac:dyDescent="0.3">
      <c r="B12" s="17">
        <f t="shared" ref="B12" si="3">+B11+1</f>
        <v>4</v>
      </c>
      <c r="C12" s="20">
        <f t="shared" ref="C12" si="4">+C11-K11</f>
        <v>123953.12</v>
      </c>
      <c r="D12" s="20">
        <f t="shared" ref="D12" si="5">+D11</f>
        <v>70000</v>
      </c>
      <c r="E12" s="17">
        <f>+E11</f>
        <v>10</v>
      </c>
      <c r="F12" s="17">
        <v>995</v>
      </c>
      <c r="G12" s="18">
        <f>+(C12-D12)/(E12*F12)</f>
        <v>5.422424120603015</v>
      </c>
      <c r="H12" s="19">
        <v>0.12</v>
      </c>
      <c r="I12" s="18">
        <f>+(C12+D12)*H12/(2*F12)</f>
        <v>11.695665527638189</v>
      </c>
      <c r="J12" s="18">
        <f t="shared" si="0"/>
        <v>0.49830399999999997</v>
      </c>
      <c r="K12" s="24">
        <f t="shared" ref="K12" si="6">+(G12+I12+J12)*F12</f>
        <v>17528.311679999999</v>
      </c>
      <c r="L12" s="2"/>
      <c r="M12" s="2"/>
      <c r="N12" s="2"/>
    </row>
    <row r="13" spans="2:16" x14ac:dyDescent="0.3">
      <c r="B13" s="2"/>
      <c r="C13" s="6"/>
      <c r="D13" s="6"/>
      <c r="E13" s="2"/>
      <c r="F13" s="2"/>
      <c r="G13" s="4"/>
      <c r="H13" s="5"/>
      <c r="I13" s="4"/>
      <c r="J13" s="4"/>
      <c r="K13" s="3"/>
      <c r="L13" s="2"/>
      <c r="M13" s="2"/>
      <c r="N13" s="2"/>
    </row>
    <row r="14" spans="2:16" ht="15" thickBot="1" x14ac:dyDescent="0.35">
      <c r="B14" s="2"/>
      <c r="C14" s="6"/>
      <c r="D14" s="6"/>
      <c r="E14" s="2"/>
      <c r="F14" s="2"/>
      <c r="G14" s="4"/>
      <c r="H14" s="5"/>
      <c r="I14" s="4"/>
      <c r="J14" s="4"/>
      <c r="K14" s="3"/>
      <c r="L14" s="2"/>
      <c r="M14" s="2"/>
      <c r="N14" s="2"/>
    </row>
    <row r="15" spans="2:16" ht="43.2" x14ac:dyDescent="0.3">
      <c r="B15" s="7" t="s">
        <v>0</v>
      </c>
      <c r="C15" s="8" t="s">
        <v>2</v>
      </c>
      <c r="D15" s="8" t="s">
        <v>35</v>
      </c>
      <c r="E15" s="8" t="s">
        <v>37</v>
      </c>
      <c r="F15" s="8" t="s">
        <v>41</v>
      </c>
      <c r="G15" s="8" t="s">
        <v>39</v>
      </c>
      <c r="H15" s="8" t="s">
        <v>38</v>
      </c>
      <c r="I15" s="8" t="s">
        <v>49</v>
      </c>
      <c r="J15" s="8" t="s">
        <v>55</v>
      </c>
      <c r="K15" s="8" t="s">
        <v>52</v>
      </c>
      <c r="L15" s="8" t="s">
        <v>57</v>
      </c>
      <c r="M15" s="8" t="s">
        <v>59</v>
      </c>
      <c r="N15" s="8" t="s">
        <v>62</v>
      </c>
      <c r="O15" s="8" t="s">
        <v>66</v>
      </c>
      <c r="P15" s="21" t="s">
        <v>1</v>
      </c>
    </row>
    <row r="16" spans="2:16" x14ac:dyDescent="0.3">
      <c r="B16" s="9"/>
      <c r="C16" s="10" t="s">
        <v>3</v>
      </c>
      <c r="D16" s="10" t="s">
        <v>44</v>
      </c>
      <c r="E16" s="10" t="s">
        <v>45</v>
      </c>
      <c r="F16" s="10" t="s">
        <v>46</v>
      </c>
      <c r="G16" s="10" t="s">
        <v>40</v>
      </c>
      <c r="H16" s="31" t="s">
        <v>47</v>
      </c>
      <c r="I16" s="10" t="s">
        <v>50</v>
      </c>
      <c r="J16" s="10" t="s">
        <v>56</v>
      </c>
      <c r="K16" s="10" t="s">
        <v>53</v>
      </c>
      <c r="L16" s="10" t="s">
        <v>58</v>
      </c>
      <c r="M16" s="10" t="s">
        <v>60</v>
      </c>
      <c r="N16" s="10" t="s">
        <v>63</v>
      </c>
      <c r="O16" s="10" t="s">
        <v>67</v>
      </c>
      <c r="P16" s="27" t="s">
        <v>65</v>
      </c>
    </row>
    <row r="17" spans="2:16" ht="15" thickBot="1" x14ac:dyDescent="0.35">
      <c r="B17" s="11"/>
      <c r="C17" s="12" t="s">
        <v>18</v>
      </c>
      <c r="D17" s="12" t="s">
        <v>18</v>
      </c>
      <c r="E17" s="12" t="s">
        <v>18</v>
      </c>
      <c r="F17" s="12" t="s">
        <v>42</v>
      </c>
      <c r="G17" s="12"/>
      <c r="H17" s="12" t="s">
        <v>18</v>
      </c>
      <c r="I17" s="12" t="s">
        <v>18</v>
      </c>
      <c r="J17" s="12" t="s">
        <v>19</v>
      </c>
      <c r="K17" s="12" t="s">
        <v>18</v>
      </c>
      <c r="L17" s="12" t="s">
        <v>19</v>
      </c>
      <c r="M17" s="12" t="s">
        <v>18</v>
      </c>
      <c r="N17" s="12" t="s">
        <v>18</v>
      </c>
      <c r="O17" s="12" t="s">
        <v>18</v>
      </c>
      <c r="P17" s="22" t="s">
        <v>19</v>
      </c>
    </row>
    <row r="18" spans="2:16" ht="57.6" x14ac:dyDescent="0.3">
      <c r="B18" s="26" t="s">
        <v>12</v>
      </c>
      <c r="C18" s="13" t="s">
        <v>34</v>
      </c>
      <c r="D18" s="13" t="s">
        <v>36</v>
      </c>
      <c r="E18" s="13" t="s">
        <v>79</v>
      </c>
      <c r="F18" s="13" t="s">
        <v>43</v>
      </c>
      <c r="G18" s="13" t="s">
        <v>15</v>
      </c>
      <c r="H18" s="13" t="s">
        <v>48</v>
      </c>
      <c r="I18" s="13" t="s">
        <v>51</v>
      </c>
      <c r="J18" s="13" t="s">
        <v>43</v>
      </c>
      <c r="K18" s="13" t="s">
        <v>54</v>
      </c>
      <c r="L18" s="13" t="s">
        <v>43</v>
      </c>
      <c r="M18" s="13" t="s">
        <v>61</v>
      </c>
      <c r="N18" s="13" t="s">
        <v>64</v>
      </c>
      <c r="O18" s="13" t="s">
        <v>15</v>
      </c>
      <c r="P18" s="23" t="s">
        <v>68</v>
      </c>
    </row>
    <row r="19" spans="2:16" x14ac:dyDescent="0.3">
      <c r="B19" s="17"/>
      <c r="C19" s="28">
        <f>+G8</f>
        <v>13.06532663316583</v>
      </c>
      <c r="D19" s="28">
        <f>0.25*C19</f>
        <v>3.2663316582914574</v>
      </c>
      <c r="E19" s="29">
        <f>0.05*C19</f>
        <v>0.65326633165829151</v>
      </c>
      <c r="F19" s="18">
        <v>0.9</v>
      </c>
      <c r="G19" s="30">
        <v>150</v>
      </c>
      <c r="H19" s="18">
        <f>0.04*G19*F19</f>
        <v>5.4</v>
      </c>
      <c r="I19" s="18">
        <f>0.0013*G19</f>
        <v>0.19499999999999998</v>
      </c>
      <c r="J19" s="18">
        <v>1500</v>
      </c>
      <c r="K19" s="18">
        <f>1.35*J19/F8</f>
        <v>2.0351758793969852</v>
      </c>
      <c r="L19" s="18">
        <v>3000</v>
      </c>
      <c r="M19" s="18">
        <f>+L19/(2.3*F8)</f>
        <v>1.3109023377758358</v>
      </c>
      <c r="N19" s="18">
        <f>0.001*C8/F8</f>
        <v>0.20100502512562815</v>
      </c>
      <c r="O19" s="32"/>
      <c r="P19" s="24">
        <f>+(D19+E19+H19+I19+K19+M19+N19)*F8</f>
        <v>12996.372826086958</v>
      </c>
    </row>
    <row r="20" spans="2:16" x14ac:dyDescent="0.3">
      <c r="B20" s="15"/>
      <c r="C20" s="17"/>
      <c r="D20" s="17"/>
      <c r="E20" s="17"/>
      <c r="F20" s="17"/>
      <c r="G20" s="30"/>
      <c r="H20" s="17"/>
      <c r="I20" s="17"/>
      <c r="J20" s="17"/>
      <c r="K20" s="17"/>
      <c r="L20" s="17"/>
      <c r="M20" s="17"/>
      <c r="N20" s="17"/>
      <c r="O20" s="17"/>
      <c r="P20" s="25"/>
    </row>
    <row r="21" spans="2:16" x14ac:dyDescent="0.3">
      <c r="B21" s="17"/>
      <c r="C21" s="29"/>
      <c r="D21" s="28"/>
      <c r="E21" s="29"/>
      <c r="F21" s="18"/>
      <c r="G21" s="30"/>
      <c r="H21" s="18"/>
      <c r="I21" s="18"/>
      <c r="J21" s="18"/>
      <c r="K21" s="18"/>
      <c r="L21" s="18"/>
      <c r="M21" s="18"/>
      <c r="N21" s="18"/>
      <c r="O21" s="32">
        <v>2.5000000000000001E-2</v>
      </c>
      <c r="P21" s="24">
        <f>+(1+O21)*P19</f>
        <v>13321.28214673913</v>
      </c>
    </row>
    <row r="22" spans="2:16" x14ac:dyDescent="0.3">
      <c r="B22" s="17"/>
      <c r="C22" s="29"/>
      <c r="D22" s="28"/>
      <c r="E22" s="29"/>
      <c r="F22" s="18"/>
      <c r="G22" s="30"/>
      <c r="H22" s="18"/>
      <c r="I22" s="18"/>
      <c r="J22" s="18"/>
      <c r="K22" s="18"/>
      <c r="L22" s="18"/>
      <c r="M22" s="18"/>
      <c r="N22" s="18"/>
      <c r="O22" s="32">
        <v>2.5000000000000001E-2</v>
      </c>
      <c r="P22" s="24">
        <f>+(1+O22)*P21</f>
        <v>13654.314200407607</v>
      </c>
    </row>
    <row r="23" spans="2:16" x14ac:dyDescent="0.3">
      <c r="B23" s="17"/>
      <c r="C23" s="29"/>
      <c r="D23" s="28"/>
      <c r="E23" s="29"/>
      <c r="F23" s="18"/>
      <c r="G23" s="30"/>
      <c r="H23" s="18"/>
      <c r="I23" s="18"/>
      <c r="J23" s="18"/>
      <c r="K23" s="18"/>
      <c r="L23" s="18"/>
      <c r="M23" s="18"/>
      <c r="N23" s="18"/>
      <c r="O23" s="32">
        <v>2.5000000000000001E-2</v>
      </c>
      <c r="P23" s="24">
        <f>+(1+O23)*P22</f>
        <v>13995.672055417795</v>
      </c>
    </row>
    <row r="24" spans="2:16" x14ac:dyDescent="0.3">
      <c r="B24" s="2"/>
    </row>
    <row r="26" spans="2:16" ht="15" thickBot="1" x14ac:dyDescent="0.35"/>
    <row r="27" spans="2:16" ht="57.6" x14ac:dyDescent="0.3">
      <c r="B27" s="7" t="s">
        <v>0</v>
      </c>
      <c r="C27" s="21" t="s">
        <v>1</v>
      </c>
      <c r="D27" s="21" t="s">
        <v>22</v>
      </c>
      <c r="E27" s="21" t="s">
        <v>73</v>
      </c>
      <c r="F27" s="21" t="s">
        <v>74</v>
      </c>
      <c r="G27" s="21" t="s">
        <v>76</v>
      </c>
      <c r="H27" s="21" t="s">
        <v>77</v>
      </c>
      <c r="I27" s="21" t="s">
        <v>69</v>
      </c>
      <c r="J27" s="21" t="s">
        <v>81</v>
      </c>
      <c r="K27" s="21" t="s">
        <v>71</v>
      </c>
      <c r="L27" s="21" t="s">
        <v>80</v>
      </c>
    </row>
    <row r="28" spans="2:16" x14ac:dyDescent="0.3">
      <c r="B28" s="9"/>
      <c r="C28" s="27" t="s">
        <v>65</v>
      </c>
      <c r="D28" s="27" t="s">
        <v>3</v>
      </c>
      <c r="E28" s="27"/>
      <c r="F28" s="27" t="s">
        <v>75</v>
      </c>
      <c r="G28" s="27"/>
      <c r="H28" s="27" t="s">
        <v>78</v>
      </c>
      <c r="I28" s="27" t="s">
        <v>70</v>
      </c>
      <c r="J28" s="27" t="s">
        <v>82</v>
      </c>
      <c r="K28" s="27" t="s">
        <v>72</v>
      </c>
      <c r="L28" s="27"/>
    </row>
    <row r="29" spans="2:16" x14ac:dyDescent="0.3">
      <c r="B29" s="17">
        <v>1</v>
      </c>
      <c r="C29" s="16">
        <f>+P19</f>
        <v>12996.372826086958</v>
      </c>
      <c r="D29" s="16">
        <f>+K8</f>
        <v>29999.999999999996</v>
      </c>
      <c r="E29" s="16">
        <f>+D29</f>
        <v>29999.999999999996</v>
      </c>
      <c r="F29" s="16">
        <f>+I8*F8</f>
        <v>16199.999999999998</v>
      </c>
      <c r="G29" s="16">
        <f>+F29</f>
        <v>16199.999999999998</v>
      </c>
      <c r="H29" s="33">
        <v>200000</v>
      </c>
      <c r="I29" s="16">
        <f t="shared" ref="I29:I42" si="7">+C29+D29</f>
        <v>42996.372826086954</v>
      </c>
      <c r="J29" s="16">
        <f>+C29</f>
        <v>12996.372826086958</v>
      </c>
      <c r="K29" s="16">
        <f>+J29</f>
        <v>12996.372826086958</v>
      </c>
      <c r="L29" s="16">
        <f>+J29+H29</f>
        <v>212996.37282608697</v>
      </c>
    </row>
    <row r="30" spans="2:16" x14ac:dyDescent="0.3">
      <c r="B30" s="17">
        <f>+B29+1</f>
        <v>2</v>
      </c>
      <c r="C30" s="16">
        <f>1.025*C29</f>
        <v>13321.28214673913</v>
      </c>
      <c r="D30" s="16">
        <f>+K10</f>
        <v>25080</v>
      </c>
      <c r="E30" s="16">
        <f>+D30+E29</f>
        <v>55080</v>
      </c>
      <c r="F30" s="16">
        <f>+F29/D29*D30</f>
        <v>13543.2</v>
      </c>
      <c r="G30" s="16">
        <f>+F30+G29</f>
        <v>29743.199999999997</v>
      </c>
      <c r="H30" s="33">
        <f>+H29-D29</f>
        <v>170000</v>
      </c>
      <c r="I30" s="16">
        <f t="shared" si="7"/>
        <v>38401.282146739133</v>
      </c>
      <c r="J30" s="16">
        <f>+C30+J29</f>
        <v>26317.654972826087</v>
      </c>
      <c r="K30" s="16">
        <f t="shared" ref="K30:K42" si="8">+J30/B30</f>
        <v>13158.827486413044</v>
      </c>
      <c r="L30" s="16">
        <f t="shared" ref="L30:L42" si="9">+J30+H30</f>
        <v>196317.65497282607</v>
      </c>
    </row>
    <row r="31" spans="2:16" x14ac:dyDescent="0.3">
      <c r="B31" s="17">
        <f t="shared" ref="B31:B42" si="10">+B30+1</f>
        <v>3</v>
      </c>
      <c r="C31" s="16">
        <f t="shared" ref="C31:C42" si="11">1.025*C30</f>
        <v>13654.314200407607</v>
      </c>
      <c r="D31" s="16">
        <f>+D30/D29*D30</f>
        <v>20966.88</v>
      </c>
      <c r="E31" s="16">
        <f t="shared" ref="E31:E42" si="12">+D31+E30</f>
        <v>76046.880000000005</v>
      </c>
      <c r="F31" s="16">
        <f t="shared" ref="F31:F42" si="13">+F30/D30*D31</f>
        <v>11322.115200000002</v>
      </c>
      <c r="G31" s="16">
        <f t="shared" ref="G31:G42" si="14">+F31+G30</f>
        <v>41065.315199999997</v>
      </c>
      <c r="H31" s="33">
        <f t="shared" ref="H31:H42" si="15">+H30-D30</f>
        <v>144920</v>
      </c>
      <c r="I31" s="16">
        <f t="shared" si="7"/>
        <v>34621.194200407612</v>
      </c>
      <c r="J31" s="16">
        <f t="shared" ref="J31:J42" si="16">+C31+J30</f>
        <v>39971.969173233694</v>
      </c>
      <c r="K31" s="16">
        <f t="shared" si="8"/>
        <v>13323.989724411231</v>
      </c>
      <c r="L31" s="16">
        <f t="shared" si="9"/>
        <v>184891.96917323369</v>
      </c>
    </row>
    <row r="32" spans="2:16" x14ac:dyDescent="0.3">
      <c r="B32" s="17">
        <f t="shared" si="10"/>
        <v>4</v>
      </c>
      <c r="C32" s="16">
        <f t="shared" si="11"/>
        <v>13995.672055417795</v>
      </c>
      <c r="D32" s="16">
        <f t="shared" ref="D32:D42" si="17">+D31/D30*D31</f>
        <v>17528.311680000003</v>
      </c>
      <c r="E32" s="16">
        <f t="shared" si="12"/>
        <v>93575.191680000004</v>
      </c>
      <c r="F32" s="16">
        <f t="shared" si="13"/>
        <v>9465.2883072000022</v>
      </c>
      <c r="G32" s="16">
        <f t="shared" si="14"/>
        <v>50530.603507200001</v>
      </c>
      <c r="H32" s="33">
        <f t="shared" si="15"/>
        <v>123953.12</v>
      </c>
      <c r="I32" s="16">
        <f t="shared" si="7"/>
        <v>31523.983735417798</v>
      </c>
      <c r="J32" s="16">
        <f t="shared" si="16"/>
        <v>53967.64122865149</v>
      </c>
      <c r="K32" s="16">
        <f t="shared" si="8"/>
        <v>13491.910307162872</v>
      </c>
      <c r="L32" s="16">
        <f t="shared" si="9"/>
        <v>177920.76122865148</v>
      </c>
    </row>
    <row r="33" spans="2:12" x14ac:dyDescent="0.3">
      <c r="B33" s="17">
        <f t="shared" si="10"/>
        <v>5</v>
      </c>
      <c r="C33" s="16">
        <f t="shared" si="11"/>
        <v>14345.563856803239</v>
      </c>
      <c r="D33" s="16">
        <f t="shared" si="17"/>
        <v>14653.668564480004</v>
      </c>
      <c r="E33" s="16">
        <f t="shared" si="12"/>
        <v>108228.86024448001</v>
      </c>
      <c r="F33" s="16">
        <f t="shared" si="13"/>
        <v>7912.9810248192025</v>
      </c>
      <c r="G33" s="16">
        <f t="shared" si="14"/>
        <v>58443.584532019202</v>
      </c>
      <c r="H33" s="33">
        <f t="shared" si="15"/>
        <v>106424.80832</v>
      </c>
      <c r="I33" s="16">
        <f t="shared" si="7"/>
        <v>28999.232421283243</v>
      </c>
      <c r="J33" s="16">
        <f t="shared" si="16"/>
        <v>68313.205085454727</v>
      </c>
      <c r="K33" s="16">
        <f t="shared" si="8"/>
        <v>13662.641017090946</v>
      </c>
      <c r="L33" s="16">
        <f t="shared" si="9"/>
        <v>174738.01340545472</v>
      </c>
    </row>
    <row r="34" spans="2:12" x14ac:dyDescent="0.3">
      <c r="B34" s="17">
        <f t="shared" si="10"/>
        <v>6</v>
      </c>
      <c r="C34" s="16">
        <f t="shared" si="11"/>
        <v>14704.202953223319</v>
      </c>
      <c r="D34" s="16">
        <f t="shared" si="17"/>
        <v>12250.466919905284</v>
      </c>
      <c r="E34" s="16">
        <f t="shared" si="12"/>
        <v>120479.32716438529</v>
      </c>
      <c r="F34" s="16">
        <f t="shared" si="13"/>
        <v>6615.2521367488534</v>
      </c>
      <c r="G34" s="16">
        <f t="shared" si="14"/>
        <v>65058.836668768054</v>
      </c>
      <c r="H34" s="33">
        <f t="shared" si="15"/>
        <v>91771.139755519995</v>
      </c>
      <c r="I34" s="16">
        <f t="shared" si="7"/>
        <v>26954.669873128601</v>
      </c>
      <c r="J34" s="16">
        <f t="shared" si="16"/>
        <v>83017.408038678041</v>
      </c>
      <c r="K34" s="16">
        <f t="shared" si="8"/>
        <v>13836.234673113007</v>
      </c>
      <c r="L34" s="16">
        <f t="shared" si="9"/>
        <v>174788.54779419804</v>
      </c>
    </row>
    <row r="35" spans="2:12" x14ac:dyDescent="0.3">
      <c r="B35" s="17">
        <f t="shared" si="10"/>
        <v>7</v>
      </c>
      <c r="C35" s="16">
        <f t="shared" si="11"/>
        <v>15071.808027053901</v>
      </c>
      <c r="D35" s="16">
        <f t="shared" si="17"/>
        <v>10241.390345040818</v>
      </c>
      <c r="E35" s="16">
        <f t="shared" si="12"/>
        <v>130720.71750942612</v>
      </c>
      <c r="F35" s="16">
        <f t="shared" si="13"/>
        <v>5530.350786322042</v>
      </c>
      <c r="G35" s="16">
        <f t="shared" si="14"/>
        <v>70589.187455090098</v>
      </c>
      <c r="H35" s="33">
        <f t="shared" si="15"/>
        <v>79520.672835614707</v>
      </c>
      <c r="I35" s="16">
        <f t="shared" si="7"/>
        <v>25313.198372094717</v>
      </c>
      <c r="J35" s="16">
        <f t="shared" si="16"/>
        <v>98089.216065731947</v>
      </c>
      <c r="K35" s="16">
        <f t="shared" si="8"/>
        <v>14012.74515224742</v>
      </c>
      <c r="L35" s="16">
        <f t="shared" si="9"/>
        <v>177609.88890134665</v>
      </c>
    </row>
    <row r="36" spans="2:12" x14ac:dyDescent="0.3">
      <c r="B36" s="17">
        <f t="shared" si="10"/>
        <v>8</v>
      </c>
      <c r="C36" s="16">
        <f t="shared" si="11"/>
        <v>15448.603227730247</v>
      </c>
      <c r="D36" s="16">
        <f t="shared" si="17"/>
        <v>8561.802328454125</v>
      </c>
      <c r="E36" s="16">
        <f t="shared" si="12"/>
        <v>139282.51983788025</v>
      </c>
      <c r="F36" s="16">
        <f t="shared" si="13"/>
        <v>4623.3732573652278</v>
      </c>
      <c r="G36" s="16">
        <f t="shared" si="14"/>
        <v>75212.560712455321</v>
      </c>
      <c r="H36" s="33">
        <f t="shared" si="15"/>
        <v>69279.282490573882</v>
      </c>
      <c r="I36" s="16">
        <f t="shared" si="7"/>
        <v>24010.405556184371</v>
      </c>
      <c r="J36" s="16">
        <f t="shared" si="16"/>
        <v>113537.81929346219</v>
      </c>
      <c r="K36" s="16">
        <f t="shared" si="8"/>
        <v>14192.227411682774</v>
      </c>
      <c r="L36" s="16">
        <f t="shared" si="9"/>
        <v>182817.10178403609</v>
      </c>
    </row>
    <row r="37" spans="2:12" x14ac:dyDescent="0.3">
      <c r="B37" s="17">
        <f t="shared" si="10"/>
        <v>9</v>
      </c>
      <c r="C37" s="16">
        <f t="shared" si="11"/>
        <v>15834.818308423502</v>
      </c>
      <c r="D37" s="16">
        <f t="shared" si="17"/>
        <v>7157.666746587649</v>
      </c>
      <c r="E37" s="16">
        <f t="shared" si="12"/>
        <v>146440.18658446788</v>
      </c>
      <c r="F37" s="16">
        <f t="shared" si="13"/>
        <v>3865.1400431573306</v>
      </c>
      <c r="G37" s="16">
        <f t="shared" si="14"/>
        <v>79077.700755612648</v>
      </c>
      <c r="H37" s="33">
        <f t="shared" si="15"/>
        <v>60717.480162119755</v>
      </c>
      <c r="I37" s="16">
        <f t="shared" si="7"/>
        <v>22992.485055011151</v>
      </c>
      <c r="J37" s="16">
        <f t="shared" si="16"/>
        <v>129372.6376018857</v>
      </c>
      <c r="K37" s="16">
        <f t="shared" si="8"/>
        <v>14374.737511320633</v>
      </c>
      <c r="L37" s="16">
        <f t="shared" si="9"/>
        <v>190090.11776400544</v>
      </c>
    </row>
    <row r="38" spans="2:12" x14ac:dyDescent="0.3">
      <c r="B38" s="17">
        <f t="shared" si="10"/>
        <v>10</v>
      </c>
      <c r="C38" s="16">
        <f t="shared" si="11"/>
        <v>16230.688766134088</v>
      </c>
      <c r="D38" s="16">
        <f t="shared" si="17"/>
        <v>5983.8094001472755</v>
      </c>
      <c r="E38" s="16">
        <f t="shared" si="12"/>
        <v>152423.99598461515</v>
      </c>
      <c r="F38" s="16">
        <f t="shared" si="13"/>
        <v>3231.2570760795288</v>
      </c>
      <c r="G38" s="16">
        <f t="shared" si="14"/>
        <v>82308.957831692183</v>
      </c>
      <c r="H38" s="33">
        <f t="shared" si="15"/>
        <v>53559.813415532102</v>
      </c>
      <c r="I38" s="16">
        <f t="shared" si="7"/>
        <v>22214.498166281363</v>
      </c>
      <c r="J38" s="16">
        <f t="shared" si="16"/>
        <v>145603.3263680198</v>
      </c>
      <c r="K38" s="16">
        <f t="shared" si="8"/>
        <v>14560.332636801981</v>
      </c>
      <c r="L38" s="16">
        <f t="shared" si="9"/>
        <v>199163.13978355192</v>
      </c>
    </row>
    <row r="39" spans="2:12" x14ac:dyDescent="0.3">
      <c r="B39" s="17">
        <f t="shared" si="10"/>
        <v>11</v>
      </c>
      <c r="C39" s="16">
        <f t="shared" si="11"/>
        <v>16636.455985287437</v>
      </c>
      <c r="D39" s="16">
        <f t="shared" si="17"/>
        <v>5002.464658523123</v>
      </c>
      <c r="E39" s="16">
        <f t="shared" si="12"/>
        <v>157426.46064313827</v>
      </c>
      <c r="F39" s="16">
        <f t="shared" si="13"/>
        <v>2701.3309156024866</v>
      </c>
      <c r="G39" s="16">
        <f t="shared" si="14"/>
        <v>85010.288747294675</v>
      </c>
      <c r="H39" s="33">
        <f t="shared" si="15"/>
        <v>47576.004015384824</v>
      </c>
      <c r="I39" s="16">
        <f t="shared" si="7"/>
        <v>21638.920643810561</v>
      </c>
      <c r="J39" s="16">
        <f t="shared" si="16"/>
        <v>162239.78235330724</v>
      </c>
      <c r="K39" s="16">
        <f t="shared" si="8"/>
        <v>14749.07112302793</v>
      </c>
      <c r="L39" s="16">
        <f t="shared" si="9"/>
        <v>209815.78636869206</v>
      </c>
    </row>
    <row r="40" spans="2:12" x14ac:dyDescent="0.3">
      <c r="B40" s="17">
        <f t="shared" si="10"/>
        <v>12</v>
      </c>
      <c r="C40" s="16">
        <f t="shared" si="11"/>
        <v>17052.36738491962</v>
      </c>
      <c r="D40" s="16">
        <f t="shared" si="17"/>
        <v>4182.0604545253309</v>
      </c>
      <c r="E40" s="16">
        <f t="shared" si="12"/>
        <v>161608.52109766362</v>
      </c>
      <c r="F40" s="16">
        <f t="shared" si="13"/>
        <v>2258.3126454436788</v>
      </c>
      <c r="G40" s="16">
        <f t="shared" si="14"/>
        <v>87268.601392738346</v>
      </c>
      <c r="H40" s="33">
        <f t="shared" si="15"/>
        <v>42573.5393568617</v>
      </c>
      <c r="I40" s="16">
        <f t="shared" si="7"/>
        <v>21234.42783944495</v>
      </c>
      <c r="J40" s="16">
        <f t="shared" si="16"/>
        <v>179292.14973822684</v>
      </c>
      <c r="K40" s="16">
        <f t="shared" si="8"/>
        <v>14941.01247818557</v>
      </c>
      <c r="L40" s="16">
        <f t="shared" si="9"/>
        <v>221865.68909508854</v>
      </c>
    </row>
    <row r="41" spans="2:12" x14ac:dyDescent="0.3">
      <c r="B41" s="17">
        <f t="shared" si="10"/>
        <v>13</v>
      </c>
      <c r="C41" s="16">
        <f t="shared" si="11"/>
        <v>17478.676569542607</v>
      </c>
      <c r="D41" s="16">
        <f t="shared" si="17"/>
        <v>3496.2025399831764</v>
      </c>
      <c r="E41" s="16">
        <f t="shared" si="12"/>
        <v>165104.72363764679</v>
      </c>
      <c r="F41" s="16">
        <f t="shared" si="13"/>
        <v>1887.9493715909155</v>
      </c>
      <c r="G41" s="16">
        <f t="shared" si="14"/>
        <v>89156.550764329266</v>
      </c>
      <c r="H41" s="33">
        <f t="shared" si="15"/>
        <v>38391.47890233637</v>
      </c>
      <c r="I41" s="16">
        <f t="shared" si="7"/>
        <v>20974.879109525784</v>
      </c>
      <c r="J41" s="16">
        <f t="shared" si="16"/>
        <v>196770.82630776946</v>
      </c>
      <c r="K41" s="16">
        <f t="shared" si="8"/>
        <v>15136.217408289958</v>
      </c>
      <c r="L41" s="16">
        <f t="shared" si="9"/>
        <v>235162.30521010584</v>
      </c>
    </row>
    <row r="42" spans="2:12" x14ac:dyDescent="0.3">
      <c r="B42" s="17">
        <f t="shared" si="10"/>
        <v>14</v>
      </c>
      <c r="C42" s="16">
        <f t="shared" si="11"/>
        <v>17915.643483781172</v>
      </c>
      <c r="D42" s="16">
        <f t="shared" si="17"/>
        <v>2922.8253234259355</v>
      </c>
      <c r="E42" s="16">
        <f t="shared" si="12"/>
        <v>168027.54896107272</v>
      </c>
      <c r="F42" s="16">
        <f t="shared" si="13"/>
        <v>1578.3256746500053</v>
      </c>
      <c r="G42" s="16">
        <f t="shared" si="14"/>
        <v>90734.876438979278</v>
      </c>
      <c r="H42" s="33">
        <f t="shared" si="15"/>
        <v>34895.276362353194</v>
      </c>
      <c r="I42" s="16">
        <f t="shared" si="7"/>
        <v>20838.468807207108</v>
      </c>
      <c r="J42" s="16">
        <f t="shared" si="16"/>
        <v>214686.46979155063</v>
      </c>
      <c r="K42" s="16">
        <f t="shared" si="8"/>
        <v>15334.747842253617</v>
      </c>
      <c r="L42" s="16">
        <f t="shared" si="9"/>
        <v>249581.74615390383</v>
      </c>
    </row>
    <row r="43" spans="2:12" x14ac:dyDescent="0.3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Sánchez</dc:creator>
  <cp:lastModifiedBy>Ariel Sánchez</cp:lastModifiedBy>
  <dcterms:created xsi:type="dcterms:W3CDTF">2025-03-26T18:04:15Z</dcterms:created>
  <dcterms:modified xsi:type="dcterms:W3CDTF">2025-03-26T20:52:51Z</dcterms:modified>
</cp:coreProperties>
</file>